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MicroMPN_soil_and_synthetic_communities\Excel_spreadsheet\"/>
    </mc:Choice>
  </mc:AlternateContent>
  <xr:revisionPtr revIDLastSave="0" documentId="13_ncr:1_{1B36A990-0A08-48E2-B527-01C7DF6F3807}" xr6:coauthVersionLast="47" xr6:coauthVersionMax="47" xr10:uidLastSave="{00000000-0000-0000-0000-000000000000}"/>
  <bookViews>
    <workbookView xWindow="-120" yWindow="-120" windowWidth="20730" windowHeight="11040" firstSheet="8" activeTab="5" xr2:uid="{00000000-000D-0000-FFFF-FFFF00000000}"/>
  </bookViews>
  <sheets>
    <sheet name="OUTPUT_micrompn_c1c2c3 " sheetId="17" r:id="rId1"/>
    <sheet name="OUTPUT_micrompn_c4c5c5 " sheetId="18" r:id="rId2"/>
    <sheet name="data_trim_all_R" sheetId="20" r:id="rId3"/>
    <sheet name="data_norarity_R_ORDERED" sheetId="29" r:id="rId4"/>
    <sheet name="data_norarity_R" sheetId="24" r:id="rId5"/>
    <sheet name="data_trim_MPN_regression" sheetId="23" r:id="rId6"/>
    <sheet name="Fisherstest_MPN_trim" sheetId="12" r:id="rId7"/>
    <sheet name="BlandAlt_MPN_trim" sheetId="3" r:id="rId8"/>
    <sheet name="data_trim_MPNadj_regresion" sheetId="27" r:id="rId9"/>
    <sheet name="BlandAlt_MPNadj_trim_norarity " sheetId="25" r:id="rId10"/>
    <sheet name="Fisherstest_MPNadj_trim " sheetId="26" r:id="rId11"/>
  </sheets>
  <externalReferences>
    <externalReference r:id="rId12"/>
  </externalReferences>
  <definedNames>
    <definedName name="solver_eng" localSheetId="6" hidden="1">1</definedName>
    <definedName name="solver_eng" localSheetId="10" hidden="1">1</definedName>
    <definedName name="solver_neg" localSheetId="6" hidden="1">1</definedName>
    <definedName name="solver_neg" localSheetId="10" hidden="1">1</definedName>
    <definedName name="solver_num" localSheetId="6" hidden="1">0</definedName>
    <definedName name="solver_num" localSheetId="10" hidden="1">0</definedName>
    <definedName name="solver_opt" localSheetId="6" hidden="1">Fisherstest_MPN_trim!$H$19</definedName>
    <definedName name="solver_opt" localSheetId="10" hidden="1">'Fisherstest_MPNadj_trim '!$H$19</definedName>
    <definedName name="solver_typ" localSheetId="6" hidden="1">1</definedName>
    <definedName name="solver_typ" localSheetId="10" hidden="1">1</definedName>
    <definedName name="solver_val" localSheetId="6" hidden="1">0</definedName>
    <definedName name="solver_val" localSheetId="10" hidden="1">0</definedName>
    <definedName name="solver_ver" localSheetId="6" hidden="1">3</definedName>
    <definedName name="solver_ver" localSheetId="1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A55" i="3" l="1"/>
  <c r="B55" i="3"/>
  <c r="F45" i="3"/>
  <c r="F46" i="3"/>
  <c r="F44" i="3"/>
  <c r="E45" i="3"/>
  <c r="E46" i="3"/>
  <c r="E44" i="3"/>
  <c r="I15" i="26"/>
  <c r="O42" i="27"/>
  <c r="O41" i="27"/>
  <c r="O40" i="27"/>
  <c r="O39" i="27"/>
  <c r="Q40" i="27"/>
  <c r="Q41" i="27" s="1"/>
  <c r="Q39" i="27"/>
  <c r="O38" i="27"/>
  <c r="J16" i="12"/>
  <c r="C84" i="25"/>
  <c r="C86" i="25" s="1"/>
  <c r="C83" i="25"/>
  <c r="C82" i="25"/>
  <c r="E34" i="25"/>
  <c r="D34" i="25"/>
  <c r="E33" i="25"/>
  <c r="D33" i="25"/>
  <c r="E32" i="25"/>
  <c r="D32" i="25"/>
  <c r="E31" i="25"/>
  <c r="D31" i="25"/>
  <c r="E30" i="25"/>
  <c r="D30" i="25"/>
  <c r="E29" i="25"/>
  <c r="D29" i="25"/>
  <c r="E28" i="25"/>
  <c r="D28" i="25"/>
  <c r="E27" i="25"/>
  <c r="D27" i="25"/>
  <c r="E26" i="25"/>
  <c r="D26" i="25"/>
  <c r="E25" i="25"/>
  <c r="D25" i="25"/>
  <c r="E24" i="25"/>
  <c r="D24" i="25"/>
  <c r="E23" i="25"/>
  <c r="D23" i="25"/>
  <c r="E22" i="25"/>
  <c r="D22" i="25"/>
  <c r="E21" i="25"/>
  <c r="D21" i="25"/>
  <c r="E20" i="25"/>
  <c r="D20" i="25"/>
  <c r="E19" i="25"/>
  <c r="D19" i="25"/>
  <c r="E18" i="25"/>
  <c r="D18" i="25"/>
  <c r="E17" i="25"/>
  <c r="D17" i="25"/>
  <c r="E16" i="25"/>
  <c r="D16" i="25"/>
  <c r="E15" i="25"/>
  <c r="D15" i="25"/>
  <c r="E14" i="25"/>
  <c r="D14" i="25"/>
  <c r="E13" i="25"/>
  <c r="D13" i="25"/>
  <c r="E12" i="25"/>
  <c r="D12" i="25"/>
  <c r="E11" i="25"/>
  <c r="D11" i="25"/>
  <c r="E10" i="25"/>
  <c r="D10" i="25"/>
  <c r="E9" i="25"/>
  <c r="D9" i="25"/>
  <c r="E8" i="25"/>
  <c r="D8" i="25"/>
  <c r="E7" i="25"/>
  <c r="D7" i="25"/>
  <c r="E6" i="25"/>
  <c r="D6" i="25"/>
  <c r="E5" i="25"/>
  <c r="D5" i="25"/>
  <c r="E4" i="25"/>
  <c r="D4" i="25"/>
  <c r="E3" i="25"/>
  <c r="D3" i="25"/>
  <c r="E2" i="25"/>
  <c r="D2" i="25"/>
  <c r="C84" i="3"/>
  <c r="C83" i="3"/>
  <c r="C82" i="3"/>
  <c r="D2" i="3"/>
  <c r="E2" i="3"/>
  <c r="O41" i="23"/>
  <c r="O40" i="23"/>
  <c r="O39" i="23"/>
  <c r="O38" i="23"/>
  <c r="O42" i="23" s="1"/>
  <c r="Q39" i="23"/>
  <c r="Q40" i="23" s="1"/>
  <c r="Q41" i="23" s="1"/>
  <c r="C86" i="3" l="1"/>
  <c r="C87" i="3" s="1"/>
  <c r="R38" i="27" a="1"/>
  <c r="Q42" i="27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Y62" i="27" s="1"/>
  <c r="U39" i="27"/>
  <c r="Y40" i="27"/>
  <c r="U38" i="27"/>
  <c r="U42" i="27"/>
  <c r="Y43" i="27"/>
  <c r="U45" i="27"/>
  <c r="Y46" i="27"/>
  <c r="U48" i="27"/>
  <c r="Y49" i="27"/>
  <c r="U51" i="27"/>
  <c r="Y52" i="27"/>
  <c r="U54" i="27"/>
  <c r="Y55" i="27"/>
  <c r="U57" i="27"/>
  <c r="Y58" i="27"/>
  <c r="U60" i="27"/>
  <c r="Y61" i="27"/>
  <c r="Y39" i="27"/>
  <c r="U41" i="27"/>
  <c r="Y38" i="27"/>
  <c r="Y42" i="27"/>
  <c r="U44" i="27"/>
  <c r="Y45" i="27"/>
  <c r="U47" i="27"/>
  <c r="Y48" i="27"/>
  <c r="U50" i="27"/>
  <c r="Y51" i="27"/>
  <c r="U53" i="27"/>
  <c r="Y54" i="27"/>
  <c r="U56" i="27"/>
  <c r="Y57" i="27"/>
  <c r="U59" i="27"/>
  <c r="Y60" i="27"/>
  <c r="U62" i="27"/>
  <c r="U40" i="27"/>
  <c r="Y41" i="27"/>
  <c r="U43" i="27"/>
  <c r="Y44" i="27"/>
  <c r="U46" i="27"/>
  <c r="Y47" i="27"/>
  <c r="U49" i="27"/>
  <c r="Y50" i="27"/>
  <c r="U52" i="27"/>
  <c r="Y53" i="27"/>
  <c r="U55" i="27"/>
  <c r="Y56" i="27"/>
  <c r="U58" i="27"/>
  <c r="Y59" i="27"/>
  <c r="U61" i="27"/>
  <c r="C55" i="25"/>
  <c r="C87" i="25"/>
  <c r="C85" i="25"/>
  <c r="A55" i="25"/>
  <c r="F55" i="25" s="1"/>
  <c r="E37" i="25"/>
  <c r="B55" i="25"/>
  <c r="E38" i="25"/>
  <c r="E39" i="25" s="1"/>
  <c r="R38" i="23" a="1"/>
  <c r="R38" i="23" s="1"/>
  <c r="V38" i="23" s="1"/>
  <c r="Q42" i="23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U62" i="23" s="1"/>
  <c r="U38" i="23"/>
  <c r="U41" i="23"/>
  <c r="U44" i="23"/>
  <c r="Y53" i="23"/>
  <c r="U39" i="23"/>
  <c r="Y45" i="23"/>
  <c r="Y42" i="23"/>
  <c r="U59" i="23"/>
  <c r="Y41" i="23"/>
  <c r="U48" i="23"/>
  <c r="Y44" i="23"/>
  <c r="Y40" i="23"/>
  <c r="Y38" i="23"/>
  <c r="Y39" i="23"/>
  <c r="Y60" i="23"/>
  <c r="U40" i="23"/>
  <c r="U60" i="23"/>
  <c r="Y49" i="23" l="1"/>
  <c r="R61" i="27"/>
  <c r="R49" i="27"/>
  <c r="R60" i="27"/>
  <c r="R48" i="27"/>
  <c r="R47" i="27"/>
  <c r="R56" i="27"/>
  <c r="R59" i="27"/>
  <c r="R58" i="27"/>
  <c r="R46" i="27"/>
  <c r="R57" i="27"/>
  <c r="R45" i="27"/>
  <c r="R44" i="27"/>
  <c r="R43" i="27"/>
  <c r="R54" i="27"/>
  <c r="R42" i="27"/>
  <c r="R52" i="27"/>
  <c r="R40" i="27"/>
  <c r="R53" i="27"/>
  <c r="R41" i="27"/>
  <c r="R51" i="27"/>
  <c r="R39" i="27"/>
  <c r="R55" i="27"/>
  <c r="R62" i="27"/>
  <c r="R50" i="27"/>
  <c r="R38" i="27"/>
  <c r="C88" i="25"/>
  <c r="C89" i="25" s="1"/>
  <c r="C59" i="25"/>
  <c r="C60" i="25"/>
  <c r="C81" i="25" s="1"/>
  <c r="D55" i="25"/>
  <c r="E55" i="25" s="1"/>
  <c r="G55" i="25"/>
  <c r="C95" i="25"/>
  <c r="J27" i="25"/>
  <c r="E41" i="25"/>
  <c r="E42" i="25"/>
  <c r="J26" i="25"/>
  <c r="R44" i="23"/>
  <c r="V44" i="23" s="1"/>
  <c r="R46" i="23"/>
  <c r="V46" i="23" s="1"/>
  <c r="Y43" i="23"/>
  <c r="Y48" i="23"/>
  <c r="X48" i="23" s="1"/>
  <c r="U56" i="23"/>
  <c r="R57" i="23"/>
  <c r="V57" i="23" s="1"/>
  <c r="W57" i="23" s="1"/>
  <c r="R59" i="23"/>
  <c r="V59" i="23" s="1"/>
  <c r="Y46" i="23"/>
  <c r="W46" i="23" s="1"/>
  <c r="Y51" i="23"/>
  <c r="Y62" i="23"/>
  <c r="U45" i="23"/>
  <c r="R40" i="23"/>
  <c r="V40" i="23" s="1"/>
  <c r="W40" i="23" s="1"/>
  <c r="S38" i="23"/>
  <c r="T38" i="23"/>
  <c r="R52" i="23"/>
  <c r="V52" i="23" s="1"/>
  <c r="R41" i="23"/>
  <c r="V41" i="23" s="1"/>
  <c r="W41" i="23" s="1"/>
  <c r="R55" i="23"/>
  <c r="V55" i="23" s="1"/>
  <c r="W55" i="23" s="1"/>
  <c r="R42" i="23"/>
  <c r="V42" i="23" s="1"/>
  <c r="X42" i="23" s="1"/>
  <c r="R56" i="23"/>
  <c r="V56" i="23" s="1"/>
  <c r="U49" i="23"/>
  <c r="S49" i="23" s="1"/>
  <c r="U54" i="23"/>
  <c r="R58" i="23"/>
  <c r="V58" i="23" s="1"/>
  <c r="R48" i="23"/>
  <c r="V48" i="23" s="1"/>
  <c r="U50" i="23"/>
  <c r="T50" i="23" s="1"/>
  <c r="Y61" i="23"/>
  <c r="U58" i="23"/>
  <c r="T58" i="23" s="1"/>
  <c r="R47" i="23"/>
  <c r="V47" i="23" s="1"/>
  <c r="R45" i="23"/>
  <c r="V45" i="23" s="1"/>
  <c r="W45" i="23" s="1"/>
  <c r="U57" i="23"/>
  <c r="U42" i="23"/>
  <c r="U43" i="23"/>
  <c r="T43" i="23" s="1"/>
  <c r="U51" i="23"/>
  <c r="T51" i="23" s="1"/>
  <c r="R60" i="23"/>
  <c r="V60" i="23" s="1"/>
  <c r="X60" i="23" s="1"/>
  <c r="R61" i="23"/>
  <c r="U52" i="23"/>
  <c r="U46" i="23"/>
  <c r="S46" i="23" s="1"/>
  <c r="U61" i="23"/>
  <c r="T61" i="23" s="1"/>
  <c r="R39" i="23"/>
  <c r="V39" i="23" s="1"/>
  <c r="W39" i="23" s="1"/>
  <c r="R54" i="23"/>
  <c r="V54" i="23" s="1"/>
  <c r="R43" i="23"/>
  <c r="V43" i="23" s="1"/>
  <c r="R49" i="23"/>
  <c r="V49" i="23" s="1"/>
  <c r="Y55" i="23"/>
  <c r="X55" i="23" s="1"/>
  <c r="Y52" i="23"/>
  <c r="Y54" i="23"/>
  <c r="W54" i="23" s="1"/>
  <c r="R50" i="23"/>
  <c r="V50" i="23" s="1"/>
  <c r="R51" i="23"/>
  <c r="V51" i="23" s="1"/>
  <c r="U53" i="23"/>
  <c r="Y47" i="23"/>
  <c r="Y58" i="23"/>
  <c r="X58" i="23" s="1"/>
  <c r="Y59" i="23"/>
  <c r="U55" i="23"/>
  <c r="R62" i="23"/>
  <c r="V62" i="23" s="1"/>
  <c r="R53" i="23"/>
  <c r="V53" i="23" s="1"/>
  <c r="X53" i="23" s="1"/>
  <c r="Y56" i="23"/>
  <c r="Y50" i="23"/>
  <c r="U47" i="23"/>
  <c r="T47" i="23" s="1"/>
  <c r="Y57" i="23"/>
  <c r="T60" i="23"/>
  <c r="S62" i="23"/>
  <c r="T48" i="23"/>
  <c r="W60" i="23"/>
  <c r="S44" i="23"/>
  <c r="W38" i="23"/>
  <c r="X38" i="23"/>
  <c r="S61" i="23"/>
  <c r="V61" i="23"/>
  <c r="S45" i="23"/>
  <c r="T54" i="23"/>
  <c r="T62" i="23"/>
  <c r="S41" i="23"/>
  <c r="X41" i="23" l="1"/>
  <c r="W43" i="23"/>
  <c r="T42" i="23"/>
  <c r="X46" i="23"/>
  <c r="W47" i="23"/>
  <c r="T53" i="23"/>
  <c r="T52" i="23"/>
  <c r="X59" i="23"/>
  <c r="W53" i="23"/>
  <c r="T41" i="23"/>
  <c r="S60" i="23"/>
  <c r="X62" i="23"/>
  <c r="S57" i="23"/>
  <c r="T55" i="23"/>
  <c r="X57" i="23"/>
  <c r="W51" i="23"/>
  <c r="V44" i="27"/>
  <c r="T44" i="27"/>
  <c r="S44" i="27"/>
  <c r="V62" i="27"/>
  <c r="T62" i="27"/>
  <c r="S62" i="27"/>
  <c r="V45" i="27"/>
  <c r="T45" i="27"/>
  <c r="S45" i="27"/>
  <c r="S50" i="27"/>
  <c r="V50" i="27"/>
  <c r="T50" i="27"/>
  <c r="T55" i="27"/>
  <c r="S55" i="27"/>
  <c r="V55" i="27"/>
  <c r="V57" i="27"/>
  <c r="T57" i="27"/>
  <c r="S57" i="27"/>
  <c r="T39" i="27"/>
  <c r="S39" i="27"/>
  <c r="V39" i="27"/>
  <c r="T46" i="27"/>
  <c r="S46" i="27"/>
  <c r="V46" i="27"/>
  <c r="T58" i="27"/>
  <c r="S58" i="27"/>
  <c r="V58" i="27"/>
  <c r="T41" i="27"/>
  <c r="V41" i="27"/>
  <c r="S41" i="27"/>
  <c r="V59" i="27"/>
  <c r="T59" i="27"/>
  <c r="S59" i="27"/>
  <c r="V51" i="27"/>
  <c r="T51" i="27"/>
  <c r="S51" i="27"/>
  <c r="V53" i="27"/>
  <c r="T53" i="27"/>
  <c r="S53" i="27"/>
  <c r="S56" i="27"/>
  <c r="V56" i="27"/>
  <c r="T56" i="27"/>
  <c r="V40" i="27"/>
  <c r="T40" i="27"/>
  <c r="S40" i="27"/>
  <c r="V47" i="27"/>
  <c r="S47" i="27"/>
  <c r="T47" i="27"/>
  <c r="T52" i="27"/>
  <c r="S52" i="27"/>
  <c r="V52" i="27"/>
  <c r="V48" i="27"/>
  <c r="T48" i="27"/>
  <c r="S48" i="27"/>
  <c r="V42" i="27"/>
  <c r="T42" i="27"/>
  <c r="S42" i="27"/>
  <c r="V60" i="27"/>
  <c r="T60" i="27"/>
  <c r="S60" i="27"/>
  <c r="V54" i="27"/>
  <c r="T54" i="27"/>
  <c r="S54" i="27"/>
  <c r="T49" i="27"/>
  <c r="S49" i="27"/>
  <c r="V49" i="27"/>
  <c r="V38" i="27"/>
  <c r="T38" i="27"/>
  <c r="S38" i="27"/>
  <c r="T43" i="27"/>
  <c r="S43" i="27"/>
  <c r="V43" i="27"/>
  <c r="T61" i="27"/>
  <c r="S61" i="27"/>
  <c r="V61" i="27"/>
  <c r="C90" i="25"/>
  <c r="H55" i="25"/>
  <c r="B59" i="25"/>
  <c r="F59" i="25" s="1"/>
  <c r="B60" i="25"/>
  <c r="F60" i="25" s="1"/>
  <c r="J32" i="25"/>
  <c r="J33" i="25"/>
  <c r="C96" i="25"/>
  <c r="J38" i="25"/>
  <c r="C97" i="25"/>
  <c r="J39" i="25"/>
  <c r="E95" i="25"/>
  <c r="D95" i="25"/>
  <c r="D60" i="25"/>
  <c r="E60" i="25"/>
  <c r="T49" i="23"/>
  <c r="S47" i="23"/>
  <c r="X43" i="23"/>
  <c r="S52" i="23"/>
  <c r="W62" i="23"/>
  <c r="W56" i="23"/>
  <c r="T57" i="23"/>
  <c r="S51" i="23"/>
  <c r="S53" i="23"/>
  <c r="W58" i="23"/>
  <c r="W48" i="23"/>
  <c r="X50" i="23"/>
  <c r="T56" i="23"/>
  <c r="W59" i="23"/>
  <c r="S58" i="23"/>
  <c r="X61" i="23"/>
  <c r="X54" i="23"/>
  <c r="X47" i="23"/>
  <c r="X52" i="23"/>
  <c r="X44" i="23"/>
  <c r="W44" i="23"/>
  <c r="S56" i="23"/>
  <c r="W52" i="23"/>
  <c r="T46" i="23"/>
  <c r="S59" i="23"/>
  <c r="W50" i="23"/>
  <c r="S55" i="23"/>
  <c r="S54" i="23"/>
  <c r="W42" i="23"/>
  <c r="S48" i="23"/>
  <c r="X39" i="23"/>
  <c r="X51" i="23"/>
  <c r="X40" i="23"/>
  <c r="S42" i="23"/>
  <c r="X45" i="23"/>
  <c r="T39" i="23"/>
  <c r="T59" i="23"/>
  <c r="S39" i="23"/>
  <c r="T44" i="23"/>
  <c r="T45" i="23"/>
  <c r="S43" i="23"/>
  <c r="S50" i="23"/>
  <c r="T40" i="23"/>
  <c r="S40" i="23"/>
  <c r="W61" i="23"/>
  <c r="W49" i="23"/>
  <c r="X49" i="23"/>
  <c r="X56" i="23"/>
  <c r="X50" i="27" l="1"/>
  <c r="W50" i="27"/>
  <c r="X43" i="27"/>
  <c r="W43" i="27"/>
  <c r="X60" i="27"/>
  <c r="W60" i="27"/>
  <c r="X46" i="27"/>
  <c r="W46" i="27"/>
  <c r="X51" i="27"/>
  <c r="W51" i="27"/>
  <c r="X49" i="27"/>
  <c r="W49" i="27"/>
  <c r="X59" i="27"/>
  <c r="W59" i="27"/>
  <c r="X56" i="27"/>
  <c r="W56" i="27"/>
  <c r="X41" i="27"/>
  <c r="W41" i="27"/>
  <c r="X38" i="27"/>
  <c r="W38" i="27"/>
  <c r="W45" i="27"/>
  <c r="X45" i="27"/>
  <c r="X48" i="27"/>
  <c r="W48" i="27"/>
  <c r="X57" i="27"/>
  <c r="W57" i="27"/>
  <c r="X62" i="27"/>
  <c r="W62" i="27"/>
  <c r="W39" i="27"/>
  <c r="X39" i="27"/>
  <c r="X61" i="27"/>
  <c r="W61" i="27"/>
  <c r="X52" i="27"/>
  <c r="W52" i="27"/>
  <c r="X58" i="27"/>
  <c r="W58" i="27"/>
  <c r="X55" i="27"/>
  <c r="W55" i="27"/>
  <c r="W40" i="27"/>
  <c r="X40" i="27"/>
  <c r="X47" i="27"/>
  <c r="W47" i="27"/>
  <c r="X42" i="27"/>
  <c r="W42" i="27"/>
  <c r="X54" i="27"/>
  <c r="W54" i="27"/>
  <c r="X53" i="27"/>
  <c r="W53" i="27"/>
  <c r="X44" i="27"/>
  <c r="W44" i="27"/>
  <c r="P26" i="25"/>
  <c r="P27" i="25"/>
  <c r="M27" i="25"/>
  <c r="M26" i="25"/>
  <c r="D97" i="25"/>
  <c r="E97" i="25"/>
  <c r="E96" i="25"/>
  <c r="D96" i="25"/>
  <c r="P35" i="18"/>
  <c r="P34" i="18"/>
  <c r="O35" i="18"/>
  <c r="O34" i="18"/>
  <c r="P57" i="18"/>
  <c r="O57" i="18"/>
  <c r="P56" i="18"/>
  <c r="O56" i="18"/>
  <c r="P55" i="18"/>
  <c r="O55" i="18"/>
  <c r="P54" i="18"/>
  <c r="O54" i="18"/>
  <c r="P53" i="18"/>
  <c r="O53" i="18"/>
  <c r="P52" i="18"/>
  <c r="O52" i="18"/>
  <c r="P51" i="18"/>
  <c r="O51" i="18"/>
  <c r="P50" i="18"/>
  <c r="O50" i="18"/>
  <c r="P49" i="18"/>
  <c r="O49" i="18"/>
  <c r="P48" i="18"/>
  <c r="O48" i="18"/>
  <c r="P47" i="18"/>
  <c r="O47" i="18"/>
  <c r="P46" i="18"/>
  <c r="O46" i="18"/>
  <c r="P45" i="18"/>
  <c r="O45" i="18"/>
  <c r="P44" i="18"/>
  <c r="O44" i="18"/>
  <c r="P43" i="18"/>
  <c r="O43" i="18"/>
  <c r="P42" i="18"/>
  <c r="O42" i="18"/>
  <c r="P41" i="18"/>
  <c r="O41" i="18"/>
  <c r="P40" i="18"/>
  <c r="O40" i="18"/>
  <c r="P39" i="18"/>
  <c r="O39" i="18"/>
  <c r="P38" i="18"/>
  <c r="O38" i="18"/>
  <c r="P37" i="18"/>
  <c r="O37" i="18"/>
  <c r="P36" i="18"/>
  <c r="O36" i="18"/>
  <c r="I35" i="18"/>
  <c r="I34" i="18"/>
  <c r="J57" i="18"/>
  <c r="I57" i="18"/>
  <c r="J56" i="18"/>
  <c r="I56" i="18"/>
  <c r="J55" i="18"/>
  <c r="I55" i="18"/>
  <c r="J54" i="18"/>
  <c r="I54" i="18"/>
  <c r="J53" i="18"/>
  <c r="I53" i="18"/>
  <c r="J52" i="18"/>
  <c r="I52" i="18"/>
  <c r="J51" i="18"/>
  <c r="I51" i="18"/>
  <c r="J50" i="18"/>
  <c r="I50" i="18"/>
  <c r="J49" i="18"/>
  <c r="I49" i="18"/>
  <c r="J48" i="18"/>
  <c r="I48" i="18"/>
  <c r="J47" i="18"/>
  <c r="I47" i="18"/>
  <c r="J46" i="18"/>
  <c r="I46" i="18"/>
  <c r="J45" i="18"/>
  <c r="I45" i="18"/>
  <c r="J44" i="18"/>
  <c r="I44" i="18"/>
  <c r="J43" i="18"/>
  <c r="I43" i="18"/>
  <c r="J42" i="18"/>
  <c r="I42" i="18"/>
  <c r="J41" i="18"/>
  <c r="I41" i="18"/>
  <c r="J40" i="18"/>
  <c r="I40" i="18"/>
  <c r="J39" i="18"/>
  <c r="I39" i="18"/>
  <c r="J38" i="18"/>
  <c r="I38" i="18"/>
  <c r="J37" i="18"/>
  <c r="I37" i="18"/>
  <c r="J36" i="18"/>
  <c r="I36" i="18"/>
  <c r="J35" i="18"/>
  <c r="J34" i="18"/>
  <c r="N57" i="18"/>
  <c r="H57" i="18"/>
  <c r="N56" i="18"/>
  <c r="H56" i="18"/>
  <c r="N55" i="18"/>
  <c r="H55" i="18"/>
  <c r="N54" i="18"/>
  <c r="H54" i="18"/>
  <c r="N53" i="18"/>
  <c r="H53" i="18"/>
  <c r="N52" i="18"/>
  <c r="H52" i="18"/>
  <c r="N51" i="18"/>
  <c r="H51" i="18"/>
  <c r="N50" i="18"/>
  <c r="H50" i="18"/>
  <c r="N49" i="18"/>
  <c r="H49" i="18"/>
  <c r="N48" i="18"/>
  <c r="H48" i="18"/>
  <c r="N47" i="18"/>
  <c r="H47" i="18"/>
  <c r="N46" i="18"/>
  <c r="H46" i="18"/>
  <c r="N45" i="18"/>
  <c r="H45" i="18"/>
  <c r="N44" i="18"/>
  <c r="H44" i="18"/>
  <c r="N43" i="18"/>
  <c r="H43" i="18"/>
  <c r="N42" i="18"/>
  <c r="H42" i="18"/>
  <c r="N41" i="18"/>
  <c r="H41" i="18"/>
  <c r="N40" i="18"/>
  <c r="H40" i="18"/>
  <c r="N39" i="18"/>
  <c r="H39" i="18"/>
  <c r="N38" i="18"/>
  <c r="H38" i="18"/>
  <c r="N37" i="18"/>
  <c r="H37" i="18"/>
  <c r="N36" i="18"/>
  <c r="H36" i="18"/>
  <c r="N35" i="18"/>
  <c r="H35" i="18"/>
  <c r="N34" i="18"/>
  <c r="H34" i="18"/>
  <c r="P55" i="17"/>
  <c r="P56" i="17"/>
  <c r="P57" i="17"/>
  <c r="P34" i="17"/>
  <c r="P54" i="17"/>
  <c r="P53" i="17"/>
  <c r="P52" i="17"/>
  <c r="P51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O35" i="17"/>
  <c r="O34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P33" i="25" l="1"/>
  <c r="P32" i="25"/>
  <c r="M32" i="25"/>
  <c r="M33" i="25"/>
  <c r="M39" i="25"/>
  <c r="M38" i="25"/>
  <c r="P38" i="25"/>
  <c r="P39" i="2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E37" i="3" l="1"/>
  <c r="C55" i="3"/>
  <c r="C85" i="3"/>
  <c r="C88" i="3" s="1"/>
  <c r="C89" i="3" s="1"/>
  <c r="E38" i="3"/>
  <c r="E39" i="3" s="1"/>
  <c r="F55" i="3"/>
  <c r="C60" i="3" s="1"/>
  <c r="C81" i="3" s="1"/>
  <c r="C90" i="3" s="1"/>
  <c r="D55" i="3" l="1"/>
  <c r="E60" i="3" s="1"/>
  <c r="E41" i="3"/>
  <c r="J32" i="3" s="1"/>
  <c r="E42" i="3"/>
  <c r="J38" i="3" s="1"/>
  <c r="J26" i="3"/>
  <c r="C95" i="3"/>
  <c r="J27" i="3"/>
  <c r="C59" i="3"/>
  <c r="G55" i="3"/>
  <c r="E55" i="3" l="1"/>
  <c r="B60" i="3" s="1"/>
  <c r="F60" i="3" s="1"/>
  <c r="D95" i="3"/>
  <c r="E95" i="3"/>
  <c r="C96" i="3"/>
  <c r="J33" i="3"/>
  <c r="J39" i="3"/>
  <c r="C97" i="3"/>
  <c r="D60" i="3"/>
  <c r="E96" i="3" l="1"/>
  <c r="M33" i="3" s="1"/>
  <c r="D96" i="3"/>
  <c r="D97" i="3"/>
  <c r="E97" i="3"/>
  <c r="M38" i="3" s="1"/>
  <c r="M26" i="3"/>
  <c r="P27" i="3"/>
  <c r="P26" i="3"/>
  <c r="B59" i="3"/>
  <c r="F59" i="3" s="1"/>
  <c r="H55" i="3"/>
  <c r="M27" i="3" l="1"/>
  <c r="P39" i="3"/>
  <c r="P38" i="3"/>
  <c r="P32" i="3"/>
  <c r="P33" i="3"/>
  <c r="M39" i="3"/>
  <c r="M32" i="3"/>
</calcChain>
</file>

<file path=xl/sharedStrings.xml><?xml version="1.0" encoding="utf-8"?>
<sst xmlns="http://schemas.openxmlformats.org/spreadsheetml/2006/main" count="1569" uniqueCount="223">
  <si>
    <t>Sample</t>
  </si>
  <si>
    <t>CFU</t>
  </si>
  <si>
    <t>MPN</t>
  </si>
  <si>
    <t>C2</t>
  </si>
  <si>
    <t>C3</t>
  </si>
  <si>
    <t>rfp-Rs5</t>
  </si>
  <si>
    <t>C4</t>
  </si>
  <si>
    <t>C5</t>
  </si>
  <si>
    <t>df</t>
  </si>
  <si>
    <t>alpha</t>
  </si>
  <si>
    <t>n</t>
  </si>
  <si>
    <t>mean(x)</t>
  </si>
  <si>
    <t>devsq(x)</t>
  </si>
  <si>
    <t>steyx</t>
  </si>
  <si>
    <t>t-crit</t>
  </si>
  <si>
    <t>x</t>
  </si>
  <si>
    <t>y</t>
  </si>
  <si>
    <t>lower</t>
  </si>
  <si>
    <t>upper</t>
  </si>
  <si>
    <t>conf se</t>
  </si>
  <si>
    <t>pred</t>
  </si>
  <si>
    <t>pred se</t>
  </si>
  <si>
    <t>Mean(A+B/2)</t>
  </si>
  <si>
    <t>Mean bias</t>
  </si>
  <si>
    <t xml:space="preserve">standard deviation </t>
  </si>
  <si>
    <t>sample variance</t>
  </si>
  <si>
    <t>Calculating the 95% CI of the bias and limits based of 2020 paper by Shahab Haghayegh (USED FOR PUBLICATION)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</si>
  <si>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</si>
  <si>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</si>
  <si>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</si>
  <si>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</si>
  <si>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</si>
  <si>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</si>
  <si>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</si>
  <si>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</si>
  <si>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</si>
  <si>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</si>
  <si>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</si>
  <si>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</si>
  <si>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</si>
  <si>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</si>
  <si>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</si>
  <si>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DIFFERENCE (CFU -MPN)</t>
  </si>
  <si>
    <t>Lower Limit of agreement</t>
  </si>
  <si>
    <t>Upper limit of agreement</t>
  </si>
  <si>
    <t>OUTLIER REMOVED</t>
  </si>
  <si>
    <t xml:space="preserve">Finding t-critical </t>
  </si>
  <si>
    <t>T Test: One Sample</t>
  </si>
  <si>
    <t>SUMMARY</t>
  </si>
  <si>
    <t>Alpha</t>
  </si>
  <si>
    <t>Count</t>
  </si>
  <si>
    <t>Mean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</si>
  <si>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</si>
  <si>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</si>
  <si>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</si>
  <si>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</si>
  <si>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</si>
  <si>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</si>
  <si>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</si>
  <si>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</si>
  <si>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</si>
  <si>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</si>
  <si>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</si>
  <si>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</si>
  <si>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</si>
  <si>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Bias line blck</t>
  </si>
  <si>
    <t>lower agreement</t>
  </si>
  <si>
    <t>upper agreement</t>
  </si>
  <si>
    <t>95% CI bias</t>
  </si>
  <si>
    <t>95% CI lower agreement</t>
  </si>
  <si>
    <t>95% CI upper agreement</t>
  </si>
  <si>
    <t>top black line</t>
  </si>
  <si>
    <t>bottom black line</t>
  </si>
  <si>
    <t>top upper agreement</t>
  </si>
  <si>
    <t>top lower agreement</t>
  </si>
  <si>
    <t>bottom lower agreement</t>
  </si>
  <si>
    <t>95% CI around main lines of plot</t>
  </si>
  <si>
    <t>bottom upper agreement</t>
  </si>
  <si>
    <t>B1</t>
  </si>
  <si>
    <t>B2</t>
  </si>
  <si>
    <t>B3</t>
  </si>
  <si>
    <t>B4</t>
  </si>
  <si>
    <t>B5</t>
  </si>
  <si>
    <t>B6</t>
  </si>
  <si>
    <t>C1</t>
  </si>
  <si>
    <t>C6</t>
  </si>
  <si>
    <t>D1</t>
  </si>
  <si>
    <t>D2</t>
  </si>
  <si>
    <t>D3</t>
  </si>
  <si>
    <t>D4</t>
  </si>
  <si>
    <t>D5</t>
  </si>
  <si>
    <t>D6</t>
  </si>
  <si>
    <t>A1</t>
  </si>
  <si>
    <t>A2</t>
  </si>
  <si>
    <t>A3</t>
  </si>
  <si>
    <t>A4</t>
  </si>
  <si>
    <t>A5</t>
  </si>
  <si>
    <t>A6</t>
  </si>
  <si>
    <t>Variance</t>
  </si>
  <si>
    <t>mpn</t>
  </si>
  <si>
    <t>Results from simply agree</t>
  </si>
  <si>
    <t>Breusch pagan results</t>
  </si>
  <si>
    <t>F-Test Two-Sample for Variances</t>
  </si>
  <si>
    <t>Observations</t>
  </si>
  <si>
    <t>F</t>
  </si>
  <si>
    <t>P(F&lt;=f) one-tail</t>
  </si>
  <si>
    <t>F Critical one-tail</t>
  </si>
  <si>
    <t>plate</t>
  </si>
  <si>
    <t>sample</t>
  </si>
  <si>
    <t>mpn_adj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</si>
  <si>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</si>
  <si>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</si>
  <si>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</si>
  <si>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</si>
  <si>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</si>
  <si>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</si>
  <si>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</si>
  <si>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</si>
  <si>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</si>
  <si>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</si>
  <si>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</si>
  <si>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</si>
  <si>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plate_12</t>
  </si>
  <si>
    <t>plate_13</t>
  </si>
  <si>
    <t>plate_14</t>
  </si>
  <si>
    <t>plate_15</t>
  </si>
  <si>
    <t>plate_16</t>
  </si>
  <si>
    <t>plate_17</t>
  </si>
  <si>
    <t>plate_18</t>
  </si>
  <si>
    <t>plate_19</t>
  </si>
  <si>
    <t>plate_20</t>
  </si>
  <si>
    <t>plate_21</t>
  </si>
  <si>
    <t>plate_22</t>
  </si>
  <si>
    <t>plate_23</t>
  </si>
  <si>
    <t>community</t>
  </si>
  <si>
    <t>soil_well</t>
  </si>
  <si>
    <t>C2_B2_rowEF</t>
  </si>
  <si>
    <t>rarity</t>
  </si>
  <si>
    <t>C2_B4_rowE</t>
  </si>
  <si>
    <t>microtiter</t>
  </si>
  <si>
    <t>Community</t>
  </si>
  <si>
    <t>Log10(MPN/g)</t>
  </si>
  <si>
    <t>MPN adjusted</t>
  </si>
  <si>
    <t xml:space="preserve">CFU </t>
  </si>
  <si>
    <t>FLUORESCENCE ISSUE</t>
  </si>
  <si>
    <t>Outlier</t>
  </si>
  <si>
    <t xml:space="preserve">false-negatives </t>
  </si>
  <si>
    <t>rarity index</t>
  </si>
  <si>
    <t>Microtiter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</si>
  <si>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</si>
  <si>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</si>
  <si>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</si>
  <si>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</si>
  <si>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</si>
  <si>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</si>
  <si>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</si>
  <si>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</si>
  <si>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</si>
  <si>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</si>
  <si>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</si>
  <si>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</si>
  <si>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</si>
  <si>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</si>
  <si>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</si>
  <si>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</si>
  <si>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</si>
  <si>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</si>
  <si>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</si>
  <si>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</si>
  <si>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</si>
  <si>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</si>
  <si>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Raririty index TRUE Values eliminated from analysis </t>
  </si>
  <si>
    <t>Trimmed --trim_positives</t>
  </si>
  <si>
    <t>No rarity values included in the regression or correlation analysis</t>
  </si>
  <si>
    <t>However, rarity index value are colored in Red in plot</t>
  </si>
  <si>
    <t>C2_B3 deleted from analysis</t>
  </si>
  <si>
    <t>MPN trimmed_positives, no rarity index</t>
  </si>
  <si>
    <t>R results</t>
  </si>
  <si>
    <t>x = MPN</t>
  </si>
  <si>
    <t>Y=CFU</t>
  </si>
  <si>
    <t>1/F</t>
  </si>
  <si>
    <t>x = MPN adjusted</t>
  </si>
  <si>
    <t>c1,c2,c3,</t>
  </si>
  <si>
    <t>c4,c5,c6</t>
  </si>
  <si>
    <t>Red symbols represent MPN estimates with rarity index less than 1e-4</t>
  </si>
  <si>
    <t>Raw values</t>
  </si>
  <si>
    <t>Data_raw</t>
  </si>
  <si>
    <t>DATA_raw_trim</t>
  </si>
  <si>
    <t>Command_1</t>
  </si>
  <si>
    <t>Command_2</t>
  </si>
  <si>
    <t>MicroMPN is a Python package which automates MPN calculations from microplates of different layouts.</t>
  </si>
  <si>
    <t>Github</t>
  </si>
  <si>
    <t>https://github.com/USDA-ARS-GBRU/micrompn.git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</si>
  <si>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</si>
  <si>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</si>
  <si>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</si>
  <si>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>Input file was processed with the following two commands:</t>
  </si>
  <si>
    <t>Output from MicroMPN.</t>
  </si>
  <si>
    <t>Soil treatments: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</si>
  <si>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</si>
  <si>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</si>
  <si>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</si>
  <si>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 xml:space="preserve">! micrompn --wellmap microplate.toml --data "C:\Users\kfranco\Documents\microMPN\Copy_C1_C2_C3_T48.csv"  --cutoff 6 --outfile "C:\Users\kfranco\OneDrive - USDA\Documents\mpn_rfu_package\OUTFILE_Copy_C1_C2_C3_T48.csv" --plate_name "plate_unique" --value_name "rfu" --well_name "plate_well" </t>
  </si>
  <si>
    <t xml:space="preserve">There are a total of 24 microplates. </t>
  </si>
  <si>
    <t xml:space="preserve">Community_C1 </t>
  </si>
  <si>
    <t>microtiter A1 -A6</t>
  </si>
  <si>
    <t>Community_C2</t>
  </si>
  <si>
    <t>Community_C3</t>
  </si>
  <si>
    <t>Community_C4</t>
  </si>
  <si>
    <t>Community_C5</t>
  </si>
  <si>
    <t>Community_C6</t>
  </si>
  <si>
    <t>Control_rfp-Rs5</t>
  </si>
  <si>
    <t>Input file for MicroMPN: Copy_C1_C2_C3_T48.csv</t>
  </si>
  <si>
    <t>microtiter B1-B6</t>
  </si>
  <si>
    <t>microtiter C1-C6</t>
  </si>
  <si>
    <t>microtiter D1-D6</t>
  </si>
  <si>
    <t>! micrompn --wellmap microplate.toml --data "C:\Users\kfranco\Documents\microMPN\Copy_C1_C2_C3_T48.csv.csv" --cutoff 6 --outfile "C:\Users\kfranco\OneDrive - USDA\Documents\mpn_rfu_package\OUTFILE__trim_Copy_C1_C2_C3_T48.csv" --plate_name "plate_unique" --value_name "rfu" --well_name "plate_well" --trim_positives</t>
  </si>
  <si>
    <t>DATA_raw</t>
  </si>
  <si>
    <t>Input file for MicroMPN: Copy_C4_C5_C6_T48.csv</t>
  </si>
  <si>
    <t>Output file: OUTFILE_trim_Copy_C1_C2_C3_T48.csv</t>
  </si>
  <si>
    <t>Output file: OUTFILE_trim_Copy_C4_C5_C6_T48.csv</t>
  </si>
  <si>
    <t xml:space="preserve">! micrompn --wellmap microplate.toml --data "C:\Users\kfranco\Documents\microMPN\Copy_C4_C5_C6_T48.csv"  --cutoff 6 --outfile "C:\Users\kfranco\OneDrive - USDA\Documents\mpn_rfu_package\OUTFILE_Copy_C4_C5_C6_T48.csv" --plate_name "plate_unique" --value_name "rfu" --well_name "plate_well" </t>
  </si>
  <si>
    <t>! micrompn --wellmap microplate.toml --data "C:\Users\kfranco\Documents\microMPN\Copy_C4_C5_C6_T48.csv.csv" --cutoff 6 --outfile "C:\Users\kfranco\OneDrive - USDA\Documents\mpn_rfu_package\OUTFILE__trim_Copy_C4_C5_C6_T48.csv" --plate_name "plate_unique" --value_name "rfu" --well_name "plate_well" --trim_positives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</si>
</sst>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0" fontId="0" fillId="34" borderId="0" xfId="0" applyFill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35" borderId="0" xfId="0" applyFill="1"/>
    <xf numFmtId="0" fontId="0" fillId="36" borderId="0" xfId="0" applyFill="1"/>
    <xf numFmtId="0" fontId="0" fillId="37" borderId="0" xfId="0" applyFill="1"/>
    <xf numFmtId="164" fontId="0" fillId="37" borderId="0" xfId="0" applyNumberFormat="1" applyFill="1"/>
    <xf numFmtId="0" fontId="18" fillId="0" borderId="15" xfId="0" applyFont="1" applyBorder="1" applyAlignment="1">
      <alignment horizontal="center"/>
    </xf>
    <xf numFmtId="0" fontId="0" fillId="0" borderId="17" xfId="0" applyBorder="1"/>
    <xf numFmtId="11" fontId="0" fillId="0" borderId="0" xfId="0" applyNumberFormat="1"/>
    <xf numFmtId="0" fontId="0" fillId="38" borderId="0" xfId="0" applyFill="1"/>
    <xf numFmtId="0" fontId="0" fillId="39" borderId="0" xfId="0" applyFill="1"/>
    <xf numFmtId="0" fontId="14" fillId="0" borderId="0" xfId="0" applyFont="1"/>
    <xf numFmtId="11" fontId="14" fillId="0" borderId="0" xfId="0" applyNumberFormat="1" applyFont="1"/>
    <xf numFmtId="0" fontId="0" fillId="0" borderId="20" xfId="0" applyBorder="1"/>
    <xf numFmtId="11" fontId="0" fillId="35" borderId="0" xfId="0" applyNumberFormat="1" applyFill="1"/>
    <xf numFmtId="0" fontId="0" fillId="41" borderId="0" xfId="0" applyFill="1"/>
    <xf numFmtId="11" fontId="0" fillId="41" borderId="0" xfId="0" applyNumberFormat="1" applyFill="1"/>
    <xf numFmtId="0" fontId="0" fillId="42" borderId="0" xfId="0" applyFill="1"/>
    <xf numFmtId="11" fontId="0" fillId="42" borderId="0" xfId="0" applyNumberFormat="1" applyFill="1"/>
    <xf numFmtId="0" fontId="0" fillId="0" borderId="22" xfId="0" applyBorder="1"/>
    <xf numFmtId="11" fontId="14" fillId="0" borderId="22" xfId="0" applyNumberFormat="1" applyFont="1" applyBorder="1"/>
    <xf numFmtId="11" fontId="0" fillId="35" borderId="22" xfId="0" applyNumberFormat="1" applyFill="1" applyBorder="1"/>
    <xf numFmtId="11" fontId="0" fillId="41" borderId="22" xfId="0" applyNumberFormat="1" applyFill="1" applyBorder="1"/>
    <xf numFmtId="11" fontId="0" fillId="42" borderId="22" xfId="0" applyNumberFormat="1" applyFill="1" applyBorder="1"/>
    <xf numFmtId="0" fontId="0" fillId="42" borderId="22" xfId="0" applyFill="1" applyBorder="1"/>
    <xf numFmtId="0" fontId="14" fillId="35" borderId="0" xfId="0" applyFont="1" applyFill="1"/>
    <xf numFmtId="11" fontId="14" fillId="35" borderId="22" xfId="0" applyNumberFormat="1" applyFont="1" applyFill="1" applyBorder="1"/>
    <xf numFmtId="11" fontId="14" fillId="35" borderId="0" xfId="0" applyNumberFormat="1" applyFont="1" applyFill="1"/>
    <xf numFmtId="11" fontId="16" fillId="42" borderId="22" xfId="0" applyNumberFormat="1" applyFont="1" applyFill="1" applyBorder="1"/>
    <xf numFmtId="11" fontId="16" fillId="35" borderId="22" xfId="0" applyNumberFormat="1" applyFont="1" applyFill="1" applyBorder="1"/>
    <xf numFmtId="11" fontId="16" fillId="41" borderId="22" xfId="0" applyNumberFormat="1" applyFont="1" applyFill="1" applyBorder="1"/>
    <xf numFmtId="0" fontId="0" fillId="43" borderId="0" xfId="0" applyFill="1"/>
    <xf numFmtId="0" fontId="0" fillId="40" borderId="0" xfId="0" applyFill="1"/>
    <xf numFmtId="0" fontId="0" fillId="44" borderId="0" xfId="0" applyFill="1"/>
    <xf numFmtId="0" fontId="14" fillId="35" borderId="19" xfId="0" applyFont="1" applyFill="1" applyBorder="1"/>
    <xf numFmtId="0" fontId="14" fillId="35" borderId="20" xfId="0" applyFont="1" applyFill="1" applyBorder="1"/>
    <xf numFmtId="11" fontId="14" fillId="35" borderId="20" xfId="0" applyNumberFormat="1" applyFont="1" applyFill="1" applyBorder="1"/>
    <xf numFmtId="0" fontId="0" fillId="35" borderId="19" xfId="0" applyFill="1" applyBorder="1"/>
    <xf numFmtId="0" fontId="0" fillId="35" borderId="20" xfId="0" applyFill="1" applyBorder="1"/>
    <xf numFmtId="11" fontId="0" fillId="35" borderId="20" xfId="0" applyNumberFormat="1" applyFill="1" applyBorder="1"/>
    <xf numFmtId="0" fontId="0" fillId="45" borderId="0" xfId="0" applyFill="1"/>
    <xf numFmtId="0" fontId="0" fillId="45" borderId="19" xfId="0" applyFill="1" applyBorder="1"/>
    <xf numFmtId="0" fontId="0" fillId="45" borderId="20" xfId="0" applyFill="1" applyBorder="1"/>
    <xf numFmtId="0" fontId="0" fillId="45" borderId="21" xfId="0" applyFill="1" applyBorder="1"/>
    <xf numFmtId="0" fontId="0" fillId="0" borderId="21" xfId="0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19" xfId="0" applyFill="1" applyBorder="1"/>
    <xf numFmtId="0" fontId="0" fillId="38" borderId="20" xfId="0" applyFill="1" applyBorder="1"/>
    <xf numFmtId="0" fontId="0" fillId="38" borderId="21" xfId="0" applyFill="1" applyBorder="1"/>
    <xf numFmtId="0" fontId="0" fillId="38" borderId="21" xfId="0" applyFill="1" applyBorder="1" applyAlignment="1">
      <alignment horizontal="center"/>
    </xf>
    <xf numFmtId="0" fontId="0" fillId="4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0" fillId="44" borderId="0" xfId="0" applyFill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8" xfId="0" applyFont="1" applyBorder="1" applyAlignment="1">
      <alignment horizontal="centerContinuous"/>
    </xf>
    <xf numFmtId="0" fontId="0" fillId="35" borderId="0" xfId="0" applyFill="1" applyAlignment="1">
      <alignment horizontal="left"/>
    </xf>
    <xf numFmtId="0" fontId="14" fillId="35" borderId="23" xfId="0" applyFont="1" applyFill="1" applyBorder="1"/>
    <xf numFmtId="0" fontId="0" fillId="35" borderId="23" xfId="0" applyFill="1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11" fontId="0" fillId="43" borderId="0" xfId="0" applyNumberFormat="1" applyFill="1"/>
    <xf numFmtId="11" fontId="0" fillId="40" borderId="0" xfId="0" applyNumberFormat="1" applyFill="1"/>
    <xf numFmtId="11" fontId="0" fillId="44" borderId="0" xfId="0" applyNumberFormat="1" applyFill="1"/>
    <xf numFmtId="0" fontId="0" fillId="46" borderId="0" xfId="0" applyFill="1"/>
    <xf numFmtId="165" fontId="0" fillId="46" borderId="0" xfId="0" applyNumberFormat="1" applyFill="1"/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BC3-4180-A46C-9419A6FABD92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BC3-4180-A46C-9419A6FABD92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C3-4180-A46C-9419A6FABD92}"/>
              </c:ext>
            </c:extLst>
          </c:dPt>
          <c:xVal>
            <c:numRef>
              <c:f>data_trim_MPN_regression!$C$8:$C$13</c:f>
              <c:numCache>
                <c:formatCode>General</c:formatCode>
                <c:ptCount val="6"/>
                <c:pt idx="0">
                  <c:v>5.3645544615178249</c:v>
                </c:pt>
                <c:pt idx="1">
                  <c:v>7.2229789086827063</c:v>
                </c:pt>
                <c:pt idx="2">
                  <c:v>8.2341440282603742</c:v>
                </c:pt>
                <c:pt idx="3">
                  <c:v>8.8919314342223235</c:v>
                </c:pt>
                <c:pt idx="4">
                  <c:v>8.2341440282603742</c:v>
                </c:pt>
                <c:pt idx="5">
                  <c:v>7.8089497229447025</c:v>
                </c:pt>
              </c:numCache>
            </c:numRef>
          </c:xVal>
          <c:yVal>
            <c:numRef>
              <c:f>data_trim_MPN_regression!$E$8:$E$13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C3-4180-A46C-9419A6FABD92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data_trim_MPN_regression!$C$14:$C$19</c:f>
              <c:numCache>
                <c:formatCode>General</c:formatCode>
                <c:ptCount val="6"/>
                <c:pt idx="0">
                  <c:v>8.3572198218687177</c:v>
                </c:pt>
                <c:pt idx="1">
                  <c:v>8.7643612976558138</c:v>
                </c:pt>
                <c:pt idx="2">
                  <c:v>7.9454995545820433</c:v>
                </c:pt>
                <c:pt idx="3">
                  <c:v>8.433439308765692</c:v>
                </c:pt>
                <c:pt idx="4">
                  <c:v>8.0198583147993681</c:v>
                </c:pt>
                <c:pt idx="5">
                  <c:v>8.4821195071944917</c:v>
                </c:pt>
              </c:numCache>
            </c:numRef>
          </c:xVal>
          <c:yVal>
            <c:numRef>
              <c:f>data_trim_MPN_regression!$E$14:$E$19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C3-4180-A46C-9419A6FABD92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C3-4180-A46C-9419A6FABD92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BC3-4180-A46C-9419A6FABD92}"/>
              </c:ext>
            </c:extLst>
          </c:dPt>
          <c:xVal>
            <c:numRef>
              <c:f>data_trim_MPN_regression!$C$26:$C$31</c:f>
              <c:numCache>
                <c:formatCode>General</c:formatCode>
                <c:ptCount val="6"/>
                <c:pt idx="0">
                  <c:v>9.1411898739307542</c:v>
                </c:pt>
                <c:pt idx="1">
                  <c:v>8.9943636816220121</c:v>
                </c:pt>
                <c:pt idx="2">
                  <c:v>8.9943636816220121</c:v>
                </c:pt>
                <c:pt idx="3">
                  <c:v>8.75381433874756</c:v>
                </c:pt>
                <c:pt idx="4">
                  <c:v>9.2003075859100498</c:v>
                </c:pt>
                <c:pt idx="5">
                  <c:v>9.2742332965551206</c:v>
                </c:pt>
              </c:numCache>
            </c:numRef>
          </c:xVal>
          <c:yVal>
            <c:numRef>
              <c:f>data_trim_MPN_regression!$E$26:$E$31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C3-4180-A46C-9419A6FABD92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data_trim_MPN_regression!$C$32:$C$37</c:f>
              <c:numCache>
                <c:formatCode>General</c:formatCode>
                <c:ptCount val="6"/>
                <c:pt idx="0">
                  <c:v>8.8879477486695126</c:v>
                </c:pt>
                <c:pt idx="1">
                  <c:v>8.2322008729743708</c:v>
                </c:pt>
                <c:pt idx="2">
                  <c:v>8.4076560741471429</c:v>
                </c:pt>
                <c:pt idx="3">
                  <c:v>8.551881353564097</c:v>
                </c:pt>
                <c:pt idx="4">
                  <c:v>8.7624181423698122</c:v>
                </c:pt>
                <c:pt idx="5">
                  <c:v>8.551881353564097</c:v>
                </c:pt>
              </c:numCache>
            </c:numRef>
          </c:xVal>
          <c:yVal>
            <c:numRef>
              <c:f>data_trim_MPN_regression!$E$32:$E$37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BC3-4180-A46C-9419A6FABD92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(data_trim_MPN_regression!$C$20:$C$25,data_trim_MPN_regression!$C$44:$C$49)</c:f>
              <c:numCache>
                <c:formatCode>General</c:formatCode>
                <c:ptCount val="12"/>
                <c:pt idx="0">
                  <c:v>9.073130254466049</c:v>
                </c:pt>
                <c:pt idx="1">
                  <c:v>9.4095992294330735</c:v>
                </c:pt>
                <c:pt idx="2">
                  <c:v>9.8089497229447034</c:v>
                </c:pt>
                <c:pt idx="3">
                  <c:v>9.4821195071944917</c:v>
                </c:pt>
                <c:pt idx="4">
                  <c:v>9.4290575632187235</c:v>
                </c:pt>
                <c:pt idx="5">
                  <c:v>9.3572198218687088</c:v>
                </c:pt>
                <c:pt idx="6">
                  <c:v>9.618210164706996</c:v>
                </c:pt>
                <c:pt idx="7">
                  <c:v>9.8070065676587017</c:v>
                </c:pt>
                <c:pt idx="8">
                  <c:v>9.3860527650149539</c:v>
                </c:pt>
                <c:pt idx="9">
                  <c:v>9.0179151595133717</c:v>
                </c:pt>
                <c:pt idx="10">
                  <c:v>9.1422919626813428</c:v>
                </c:pt>
                <c:pt idx="11">
                  <c:v>9.4076560741470718</c:v>
                </c:pt>
              </c:numCache>
            </c:numRef>
          </c:xVal>
          <c:yVal>
            <c:numRef>
              <c:f>(data_trim_MPN_regression!$E$20:$E$25,data_trim_MPN_regression!$E$44:$E$49)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BC3-4180-A46C-9419A6FABD92}"/>
            </c:ext>
          </c:extLst>
        </c:ser>
        <c:ser>
          <c:idx val="7"/>
          <c:order val="7"/>
          <c:tx>
            <c:v>95_UP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C3-4180-A46C-9419A6FABD92}"/>
            </c:ext>
          </c:extLst>
        </c:ser>
        <c:ser>
          <c:idx val="8"/>
          <c:order val="8"/>
          <c:tx>
            <c:v>95_LOW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BC3-4180-A46C-9419A6FAB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data_trim_MPN_regression!$C$2:$C$7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data_trim_MPN_regression!$E$2:$E$7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BC3-4180-A46C-9419A6FABD9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BC3-4180-A46C-9419A6FABD92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All_no_rarity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tx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backward val="3"/>
                  <c:dispRSqr val="1"/>
                  <c:dispEq val="1"/>
                  <c:trendlineLbl>
                    <c:layout>
                      <c:manualLayout>
                        <c:x val="-0.56360614873286252"/>
                        <c:y val="-1.2540748122757257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ysClr val="windowText" lastClr="000000"/>
                            </a:solidFill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data_trim_MPN_regression!$Q$2:$Q$34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8.2341440282603742</c:v>
                      </c:pt>
                      <c:pt idx="1">
                        <c:v>8.8919314342223235</c:v>
                      </c:pt>
                      <c:pt idx="2">
                        <c:v>8.2341440282603742</c:v>
                      </c:pt>
                      <c:pt idx="3">
                        <c:v>7.8089497229447025</c:v>
                      </c:pt>
                      <c:pt idx="4">
                        <c:v>8.3572198218687177</c:v>
                      </c:pt>
                      <c:pt idx="5">
                        <c:v>8.7643612976558138</c:v>
                      </c:pt>
                      <c:pt idx="6">
                        <c:v>7.9454995545820433</c:v>
                      </c:pt>
                      <c:pt idx="7">
                        <c:v>8.433439308765692</c:v>
                      </c:pt>
                      <c:pt idx="8">
                        <c:v>8.0198583147993681</c:v>
                      </c:pt>
                      <c:pt idx="9">
                        <c:v>8.4821195071944917</c:v>
                      </c:pt>
                      <c:pt idx="10">
                        <c:v>9.073130254466049</c:v>
                      </c:pt>
                      <c:pt idx="11">
                        <c:v>9.4095992294330735</c:v>
                      </c:pt>
                      <c:pt idx="12">
                        <c:v>9.8089497229447034</c:v>
                      </c:pt>
                      <c:pt idx="13">
                        <c:v>9.4821195071944917</c:v>
                      </c:pt>
                      <c:pt idx="14">
                        <c:v>9.4290575632187235</c:v>
                      </c:pt>
                      <c:pt idx="15">
                        <c:v>9.3572198218687088</c:v>
                      </c:pt>
                      <c:pt idx="16">
                        <c:v>8.9943636816220121</c:v>
                      </c:pt>
                      <c:pt idx="17">
                        <c:v>8.9943636816220121</c:v>
                      </c:pt>
                      <c:pt idx="18">
                        <c:v>8.75381433874756</c:v>
                      </c:pt>
                      <c:pt idx="19">
                        <c:v>9.2003075859100498</c:v>
                      </c:pt>
                      <c:pt idx="20">
                        <c:v>9.2742332965551206</c:v>
                      </c:pt>
                      <c:pt idx="21">
                        <c:v>8.8879477486695126</c:v>
                      </c:pt>
                      <c:pt idx="22">
                        <c:v>8.2322008729743708</c:v>
                      </c:pt>
                      <c:pt idx="23">
                        <c:v>8.4076560741471429</c:v>
                      </c:pt>
                      <c:pt idx="24">
                        <c:v>8.551881353564097</c:v>
                      </c:pt>
                      <c:pt idx="25">
                        <c:v>8.7624181423698122</c:v>
                      </c:pt>
                      <c:pt idx="26">
                        <c:v>8.551881353564097</c:v>
                      </c:pt>
                      <c:pt idx="27">
                        <c:v>9.618210164706996</c:v>
                      </c:pt>
                      <c:pt idx="28">
                        <c:v>9.8070065676587017</c:v>
                      </c:pt>
                      <c:pt idx="29">
                        <c:v>9.3860527650149539</c:v>
                      </c:pt>
                      <c:pt idx="30">
                        <c:v>9.0179151595133717</c:v>
                      </c:pt>
                      <c:pt idx="31">
                        <c:v>9.1422919626813428</c:v>
                      </c:pt>
                      <c:pt idx="32">
                        <c:v>9.4076560741470718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data_trim_MPN_regression!$S$2:$S$34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7.8010060921492332</c:v>
                      </c:pt>
                      <c:pt idx="1">
                        <c:v>8.3420769004355328</c:v>
                      </c:pt>
                      <c:pt idx="2">
                        <c:v>7.8036145379865518</c:v>
                      </c:pt>
                      <c:pt idx="3">
                        <c:v>7.7822420381159683</c:v>
                      </c:pt>
                      <c:pt idx="4">
                        <c:v>7.8218768070207103</c:v>
                      </c:pt>
                      <c:pt idx="5">
                        <c:v>8.0190586454557842</c:v>
                      </c:pt>
                      <c:pt idx="6">
                        <c:v>7.484465321548373</c:v>
                      </c:pt>
                      <c:pt idx="7">
                        <c:v>7.5762906186122363</c:v>
                      </c:pt>
                      <c:pt idx="8">
                        <c:v>7.959097229431511</c:v>
                      </c:pt>
                      <c:pt idx="9">
                        <c:v>7.8535353114309956</c:v>
                      </c:pt>
                      <c:pt idx="10">
                        <c:v>9.0296265704866769</c:v>
                      </c:pt>
                      <c:pt idx="11">
                        <c:v>8.5882150418302601</c:v>
                      </c:pt>
                      <c:pt idx="12">
                        <c:v>9.0099672838335625</c:v>
                      </c:pt>
                      <c:pt idx="13">
                        <c:v>8.7802901232329518</c:v>
                      </c:pt>
                      <c:pt idx="14">
                        <c:v>9.0422706215029169</c:v>
                      </c:pt>
                      <c:pt idx="15">
                        <c:v>9.097594738939863</c:v>
                      </c:pt>
                      <c:pt idx="16">
                        <c:v>8.3688831300769664</c:v>
                      </c:pt>
                      <c:pt idx="17">
                        <c:v>8.6479740309110671</c:v>
                      </c:pt>
                      <c:pt idx="18">
                        <c:v>8.7286939638031917</c:v>
                      </c:pt>
                      <c:pt idx="19">
                        <c:v>8.7160140251297094</c:v>
                      </c:pt>
                      <c:pt idx="20">
                        <c:v>8.7664365835732578</c:v>
                      </c:pt>
                      <c:pt idx="21">
                        <c:v>8.0678531344129869</c:v>
                      </c:pt>
                      <c:pt idx="22">
                        <c:v>7.7497722979332098</c:v>
                      </c:pt>
                      <c:pt idx="23">
                        <c:v>7.547630699023073</c:v>
                      </c:pt>
                      <c:pt idx="24">
                        <c:v>7.4915420585084975</c:v>
                      </c:pt>
                      <c:pt idx="25">
                        <c:v>7.9397390854947822</c:v>
                      </c:pt>
                      <c:pt idx="26">
                        <c:v>7.8248753918418315</c:v>
                      </c:pt>
                      <c:pt idx="27">
                        <c:v>9.0218969275173304</c:v>
                      </c:pt>
                      <c:pt idx="28">
                        <c:v>8.2214300805901512</c:v>
                      </c:pt>
                      <c:pt idx="29">
                        <c:v>8.7066711172629585</c:v>
                      </c:pt>
                      <c:pt idx="30">
                        <c:v>8.9129511744272421</c:v>
                      </c:pt>
                      <c:pt idx="31">
                        <c:v>8.936108429314281</c:v>
                      </c:pt>
                      <c:pt idx="32">
                        <c:v>8.7509258086363797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BC3-4180-A46C-9419A6FABD92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data_trim_MPN_regression!$R$37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data_trim_MPN_regression!$R$38:$R$62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8-489F-8E3E-836F494D2CD4}"/>
            </c:ext>
          </c:extLst>
        </c:ser>
        <c:ser>
          <c:idx val="1"/>
          <c:order val="1"/>
          <c:tx>
            <c:strRef>
              <c:f>data_trim_MPN_regression!$S$37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8-489F-8E3E-836F494D2CD4}"/>
            </c:ext>
          </c:extLst>
        </c:ser>
        <c:ser>
          <c:idx val="2"/>
          <c:order val="2"/>
          <c:tx>
            <c:strRef>
              <c:f>data_trim_MPN_regression!$T$37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8-489F-8E3E-836F494D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39391"/>
        <c:axId val="368936511"/>
      </c:lineChart>
      <c:catAx>
        <c:axId val="36893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6511"/>
        <c:crosses val="autoZero"/>
        <c:auto val="1"/>
        <c:lblAlgn val="ctr"/>
        <c:lblOffset val="100"/>
        <c:noMultiLvlLbl val="0"/>
      </c:catAx>
      <c:valAx>
        <c:axId val="3689365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393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data_trim_MPN_regression!$V$37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data_trim_MPN_regression!$V$38:$V$62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3-41B8-B261-B5190C87F073}"/>
            </c:ext>
          </c:extLst>
        </c:ser>
        <c:ser>
          <c:idx val="1"/>
          <c:order val="1"/>
          <c:tx>
            <c:strRef>
              <c:f>data_trim_MPN_regression!$W$37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data_trim_MPN_regression!$W$38:$W$62</c:f>
              <c:numCache>
                <c:formatCode>General</c:formatCode>
                <c:ptCount val="25"/>
                <c:pt idx="0">
                  <c:v>4.1243684858010248</c:v>
                </c:pt>
                <c:pt idx="1">
                  <c:v>4.3676509202379528</c:v>
                </c:pt>
                <c:pt idx="2">
                  <c:v>4.6097520018572942</c:v>
                </c:pt>
                <c:pt idx="3">
                  <c:v>4.8505223863530365</c:v>
                </c:pt>
                <c:pt idx="4">
                  <c:v>5.0897929239096875</c:v>
                </c:pt>
                <c:pt idx="5">
                  <c:v>5.3273730902338441</c:v>
                </c:pt>
                <c:pt idx="6">
                  <c:v>5.5630499714009085</c:v>
                </c:pt>
                <c:pt idx="7">
                  <c:v>5.7965882039840553</c:v>
                </c:pt>
                <c:pt idx="8">
                  <c:v>6.0277313889650657</c:v>
                </c:pt>
                <c:pt idx="9">
                  <c:v>6.2562055878360017</c:v>
                </c:pt>
                <c:pt idx="10">
                  <c:v>6.4817255186956375</c:v>
                </c:pt>
                <c:pt idx="11">
                  <c:v>6.7040039259863677</c:v>
                </c:pt>
                <c:pt idx="12">
                  <c:v>6.9227642261110072</c:v>
                </c:pt>
                <c:pt idx="13">
                  <c:v>7.1377559007353142</c:v>
                </c:pt>
                <c:pt idx="14">
                  <c:v>7.3487712895565904</c:v>
                </c:pt>
                <c:pt idx="15">
                  <c:v>7.5556616378821335</c:v>
                </c:pt>
                <c:pt idx="16">
                  <c:v>7.7583498090563445</c:v>
                </c:pt>
                <c:pt idx="17">
                  <c:v>7.9568372833352976</c:v>
                </c:pt>
                <c:pt idx="18">
                  <c:v>8.1512040209410337</c:v>
                </c:pt>
                <c:pt idx="19">
                  <c:v>8.3416012178609069</c:v>
                </c:pt>
                <c:pt idx="20">
                  <c:v>8.5282384235330877</c:v>
                </c:pt>
                <c:pt idx="21">
                  <c:v>8.7113674204070151</c:v>
                </c:pt>
                <c:pt idx="22">
                  <c:v>8.8912654490847345</c:v>
                </c:pt>
                <c:pt idx="23">
                  <c:v>9.0682198982323516</c:v>
                </c:pt>
                <c:pt idx="24">
                  <c:v>9.242515775713418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3-41B8-B261-B5190C87F073}"/>
            </c:ext>
          </c:extLst>
        </c:ser>
        <c:ser>
          <c:idx val="2"/>
          <c:order val="2"/>
          <c:tx>
            <c:strRef>
              <c:f>data_trim_MPN_regression!$X$37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data_trim_MPN_regression!$X$38:$X$62</c:f>
              <c:numCache>
                <c:formatCode>General</c:formatCode>
                <c:ptCount val="25"/>
                <c:pt idx="0">
                  <c:v>6.2271152909168084</c:v>
                </c:pt>
                <c:pt idx="1">
                  <c:v>6.3893655863619969</c:v>
                </c:pt>
                <c:pt idx="2">
                  <c:v>6.5527972346247738</c:v>
                </c:pt>
                <c:pt idx="3">
                  <c:v>6.7175595800111498</c:v>
                </c:pt>
                <c:pt idx="4">
                  <c:v>6.8838217723366171</c:v>
                </c:pt>
                <c:pt idx="5">
                  <c:v>7.0517743358945788</c:v>
                </c:pt>
                <c:pt idx="6">
                  <c:v>7.2216301846096309</c:v>
                </c:pt>
                <c:pt idx="7">
                  <c:v>7.3936246819086024</c:v>
                </c:pt>
                <c:pt idx="8">
                  <c:v>7.5680142268097104</c:v>
                </c:pt>
                <c:pt idx="9">
                  <c:v>7.7450727578208927</c:v>
                </c:pt>
                <c:pt idx="10">
                  <c:v>7.9250855568433733</c:v>
                </c:pt>
                <c:pt idx="11">
                  <c:v>8.1083398794347605</c:v>
                </c:pt>
                <c:pt idx="12">
                  <c:v>8.2951123091922412</c:v>
                </c:pt>
                <c:pt idx="13">
                  <c:v>8.4856533644500516</c:v>
                </c:pt>
                <c:pt idx="14">
                  <c:v>8.6801707055108945</c:v>
                </c:pt>
                <c:pt idx="15">
                  <c:v>8.8788130870674689</c:v>
                </c:pt>
                <c:pt idx="16">
                  <c:v>9.0816576457753762</c:v>
                </c:pt>
                <c:pt idx="17">
                  <c:v>9.2887029013785405</c:v>
                </c:pt>
                <c:pt idx="18">
                  <c:v>9.4998688936549236</c:v>
                </c:pt>
                <c:pt idx="19">
                  <c:v>9.7150044266171651</c:v>
                </c:pt>
                <c:pt idx="20">
                  <c:v>9.9338999508271062</c:v>
                </c:pt>
                <c:pt idx="21">
                  <c:v>10.156303683835297</c:v>
                </c:pt>
                <c:pt idx="22">
                  <c:v>10.381938385039689</c:v>
                </c:pt>
                <c:pt idx="23">
                  <c:v>10.61051666577419</c:v>
                </c:pt>
                <c:pt idx="24">
                  <c:v>10.841753518175242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3-41B8-B261-B5190C87F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40831"/>
        <c:axId val="368934111"/>
      </c:lineChart>
      <c:catAx>
        <c:axId val="368940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4111"/>
        <c:crosses val="autoZero"/>
        <c:auto val="1"/>
        <c:lblAlgn val="ctr"/>
        <c:lblOffset val="100"/>
        <c:noMultiLvlLbl val="0"/>
      </c:catAx>
      <c:valAx>
        <c:axId val="3689341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408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41-49EC-BABD-19A4B688BA52}"/>
              </c:ext>
            </c:extLst>
          </c:dPt>
          <c:dPt>
            <c:idx val="1"/>
            <c:marker>
              <c:symbol val="triang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41-49EC-BABD-19A4B688BA52}"/>
              </c:ext>
            </c:extLst>
          </c:dPt>
          <c:dPt>
            <c:idx val="2"/>
            <c:marker>
              <c:symbol val="circle"/>
              <c:size val="14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41-49EC-BABD-19A4B688BA52}"/>
              </c:ext>
            </c:extLst>
          </c:dPt>
          <c:xVal>
            <c:numRef>
              <c:f>data_trim_MPN_regression!$C$8:$C$13</c:f>
              <c:numCache>
                <c:formatCode>General</c:formatCode>
                <c:ptCount val="6"/>
                <c:pt idx="0">
                  <c:v>5.3645544615178249</c:v>
                </c:pt>
                <c:pt idx="1">
                  <c:v>7.2229789086827063</c:v>
                </c:pt>
                <c:pt idx="2">
                  <c:v>8.2341440282603742</c:v>
                </c:pt>
                <c:pt idx="3">
                  <c:v>8.8919314342223235</c:v>
                </c:pt>
                <c:pt idx="4">
                  <c:v>8.2341440282603742</c:v>
                </c:pt>
                <c:pt idx="5">
                  <c:v>7.8089497229447025</c:v>
                </c:pt>
              </c:numCache>
            </c:numRef>
          </c:xVal>
          <c:yVal>
            <c:numRef>
              <c:f>data_trim_MPN_regression!$E$8:$E$13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41-49EC-BABD-19A4B688BA52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data_trim_MPN_regression!$C$14:$C$19</c:f>
              <c:numCache>
                <c:formatCode>General</c:formatCode>
                <c:ptCount val="6"/>
                <c:pt idx="0">
                  <c:v>8.3572198218687177</c:v>
                </c:pt>
                <c:pt idx="1">
                  <c:v>8.7643612976558138</c:v>
                </c:pt>
                <c:pt idx="2">
                  <c:v>7.9454995545820433</c:v>
                </c:pt>
                <c:pt idx="3">
                  <c:v>8.433439308765692</c:v>
                </c:pt>
                <c:pt idx="4">
                  <c:v>8.0198583147993681</c:v>
                </c:pt>
                <c:pt idx="5">
                  <c:v>8.4821195071944917</c:v>
                </c:pt>
              </c:numCache>
            </c:numRef>
          </c:xVal>
          <c:yVal>
            <c:numRef>
              <c:f>data_trim_MPN_regression!$E$14:$E$19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41-49EC-BABD-19A4B688BA52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14"/>
              <c:spPr>
                <a:solidFill>
                  <a:schemeClr val="accent4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41-49EC-BABD-19A4B688BA52}"/>
              </c:ext>
            </c:extLst>
          </c:dPt>
          <c:dPt>
            <c:idx val="2"/>
            <c:marker>
              <c:symbol val="circle"/>
              <c:size val="14"/>
              <c:spPr>
                <a:solidFill>
                  <a:schemeClr val="accent4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41-49EC-BABD-19A4B688BA52}"/>
              </c:ext>
            </c:extLst>
          </c:dPt>
          <c:xVal>
            <c:numRef>
              <c:f>data_trim_MPN_regression!$C$26:$C$31</c:f>
              <c:numCache>
                <c:formatCode>General</c:formatCode>
                <c:ptCount val="6"/>
                <c:pt idx="0">
                  <c:v>9.1411898739307542</c:v>
                </c:pt>
                <c:pt idx="1">
                  <c:v>8.9943636816220121</c:v>
                </c:pt>
                <c:pt idx="2">
                  <c:v>8.9943636816220121</c:v>
                </c:pt>
                <c:pt idx="3">
                  <c:v>8.75381433874756</c:v>
                </c:pt>
                <c:pt idx="4">
                  <c:v>9.2003075859100498</c:v>
                </c:pt>
                <c:pt idx="5">
                  <c:v>9.2742332965551206</c:v>
                </c:pt>
              </c:numCache>
            </c:numRef>
          </c:xVal>
          <c:yVal>
            <c:numRef>
              <c:f>data_trim_MPN_regression!$E$26:$E$31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41-49EC-BABD-19A4B688BA52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data_trim_MPN_regression!$C$32:$C$37</c:f>
              <c:numCache>
                <c:formatCode>General</c:formatCode>
                <c:ptCount val="6"/>
                <c:pt idx="0">
                  <c:v>8.8879477486695126</c:v>
                </c:pt>
                <c:pt idx="1">
                  <c:v>8.2322008729743708</c:v>
                </c:pt>
                <c:pt idx="2">
                  <c:v>8.4076560741471429</c:v>
                </c:pt>
                <c:pt idx="3">
                  <c:v>8.551881353564097</c:v>
                </c:pt>
                <c:pt idx="4">
                  <c:v>8.7624181423698122</c:v>
                </c:pt>
                <c:pt idx="5">
                  <c:v>8.551881353564097</c:v>
                </c:pt>
              </c:numCache>
            </c:numRef>
          </c:xVal>
          <c:yVal>
            <c:numRef>
              <c:f>data_trim_MPN_regression!$E$32:$E$37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41-49EC-BABD-19A4B688BA52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(data_trim_MPN_regression!$C$20:$C$25,data_trim_MPN_regression!$C$44:$C$49)</c:f>
              <c:numCache>
                <c:formatCode>General</c:formatCode>
                <c:ptCount val="12"/>
                <c:pt idx="0">
                  <c:v>9.073130254466049</c:v>
                </c:pt>
                <c:pt idx="1">
                  <c:v>9.4095992294330735</c:v>
                </c:pt>
                <c:pt idx="2">
                  <c:v>9.8089497229447034</c:v>
                </c:pt>
                <c:pt idx="3">
                  <c:v>9.4821195071944917</c:v>
                </c:pt>
                <c:pt idx="4">
                  <c:v>9.4290575632187235</c:v>
                </c:pt>
                <c:pt idx="5">
                  <c:v>9.3572198218687088</c:v>
                </c:pt>
                <c:pt idx="6">
                  <c:v>9.618210164706996</c:v>
                </c:pt>
                <c:pt idx="7">
                  <c:v>9.8070065676587017</c:v>
                </c:pt>
                <c:pt idx="8">
                  <c:v>9.3860527650149539</c:v>
                </c:pt>
                <c:pt idx="9">
                  <c:v>9.0179151595133717</c:v>
                </c:pt>
                <c:pt idx="10">
                  <c:v>9.1422919626813428</c:v>
                </c:pt>
                <c:pt idx="11">
                  <c:v>9.4076560741470718</c:v>
                </c:pt>
              </c:numCache>
            </c:numRef>
          </c:xVal>
          <c:yVal>
            <c:numRef>
              <c:f>(data_trim_MPN_regression!$E$20:$E$25,data_trim_MPN_regression!$E$44:$E$49)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41-49EC-BABD-19A4B688BA52}"/>
            </c:ext>
          </c:extLst>
        </c:ser>
        <c:ser>
          <c:idx val="7"/>
          <c:order val="7"/>
          <c:tx>
            <c:v>95_UP</c:v>
          </c:tx>
          <c:spPr>
            <a:ln w="38100" cap="rnd">
              <a:solidFill>
                <a:schemeClr val="bg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data_trim_MPN_regression!$T$38:$T$62</c:f>
              <c:numCache>
                <c:formatCode>General</c:formatCode>
                <c:ptCount val="25"/>
                <c:pt idx="0">
                  <c:v>6.0010926993870841</c:v>
                </c:pt>
                <c:pt idx="1">
                  <c:v>6.1515868246392396</c:v>
                </c:pt>
                <c:pt idx="2">
                  <c:v>6.3021588834346938</c:v>
                </c:pt>
                <c:pt idx="3">
                  <c:v>6.452827122605143</c:v>
                </c:pt>
                <c:pt idx="4">
                  <c:v>6.6036159139729698</c:v>
                </c:pt>
                <c:pt idx="5">
                  <c:v>6.754558530265319</c:v>
                </c:pt>
                <c:pt idx="6">
                  <c:v>6.9057015593910158</c:v>
                </c:pt>
                <c:pt idx="7">
                  <c:v>7.0571121870817306</c:v>
                </c:pt>
                <c:pt idx="8">
                  <c:v>7.2088907330419776</c:v>
                </c:pt>
                <c:pt idx="9">
                  <c:v>7.3611933187252863</c:v>
                </c:pt>
                <c:pt idx="10">
                  <c:v>7.5142752525844969</c:v>
                </c:pt>
                <c:pt idx="11">
                  <c:v>7.6685795954248741</c:v>
                </c:pt>
                <c:pt idx="12">
                  <c:v>7.8249307326657522</c:v>
                </c:pt>
                <c:pt idx="13">
                  <c:v>7.9849813558732512</c:v>
                </c:pt>
                <c:pt idx="14">
                  <c:v>8.1522172528714485</c:v>
                </c:pt>
                <c:pt idx="15">
                  <c:v>8.3334284508981789</c:v>
                </c:pt>
                <c:pt idx="16">
                  <c:v>8.5366392166084584</c:v>
                </c:pt>
                <c:pt idx="17">
                  <c:v>8.7616385041362843</c:v>
                </c:pt>
                <c:pt idx="18">
                  <c:v>9.000299623845704</c:v>
                </c:pt>
                <c:pt idx="19">
                  <c:v>9.2459654582475892</c:v>
                </c:pt>
                <c:pt idx="20">
                  <c:v>9.4952452875134448</c:v>
                </c:pt>
                <c:pt idx="21">
                  <c:v>9.7465305009150498</c:v>
                </c:pt>
                <c:pt idx="22">
                  <c:v>9.9990165692988953</c:v>
                </c:pt>
                <c:pt idx="23">
                  <c:v>10.25226991611386</c:v>
                </c:pt>
                <c:pt idx="24">
                  <c:v>10.506040099474577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41-49EC-BABD-19A4B688BA52}"/>
            </c:ext>
          </c:extLst>
        </c:ser>
        <c:ser>
          <c:idx val="8"/>
          <c:order val="8"/>
          <c:tx>
            <c:v>95_LOW</c:v>
          </c:tx>
          <c:spPr>
            <a:ln w="38100" cap="rnd">
              <a:solidFill>
                <a:schemeClr val="bg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data_trim_MPN_regression!$Q$38:$Q$62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data_trim_MPN_regression!$S$38:$S$62</c:f>
              <c:numCache>
                <c:formatCode>General</c:formatCode>
                <c:ptCount val="25"/>
                <c:pt idx="0">
                  <c:v>4.350391077330749</c:v>
                </c:pt>
                <c:pt idx="1">
                  <c:v>4.6054296819607101</c:v>
                </c:pt>
                <c:pt idx="2">
                  <c:v>4.8603903530473742</c:v>
                </c:pt>
                <c:pt idx="3">
                  <c:v>5.1152548437590433</c:v>
                </c:pt>
                <c:pt idx="4">
                  <c:v>5.3699987822733348</c:v>
                </c:pt>
                <c:pt idx="5">
                  <c:v>5.6245888958631038</c:v>
                </c:pt>
                <c:pt idx="6">
                  <c:v>5.8789785966195236</c:v>
                </c:pt>
                <c:pt idx="7">
                  <c:v>6.1331006988109271</c:v>
                </c:pt>
                <c:pt idx="8">
                  <c:v>6.3868548827327984</c:v>
                </c:pt>
                <c:pt idx="9">
                  <c:v>6.6400850269316081</c:v>
                </c:pt>
                <c:pt idx="10">
                  <c:v>6.8925358229545139</c:v>
                </c:pt>
                <c:pt idx="11">
                  <c:v>7.1437642099962551</c:v>
                </c:pt>
                <c:pt idx="12">
                  <c:v>7.3929458026374952</c:v>
                </c:pt>
                <c:pt idx="13">
                  <c:v>7.6384279093121146</c:v>
                </c:pt>
                <c:pt idx="14">
                  <c:v>7.8767247421960356</c:v>
                </c:pt>
                <c:pt idx="15">
                  <c:v>8.1010462740514235</c:v>
                </c:pt>
                <c:pt idx="16">
                  <c:v>8.3033682382232623</c:v>
                </c:pt>
                <c:pt idx="17">
                  <c:v>8.4839016805775547</c:v>
                </c:pt>
                <c:pt idx="18">
                  <c:v>8.6507732907502533</c:v>
                </c:pt>
                <c:pt idx="19">
                  <c:v>8.8106401862304828</c:v>
                </c:pt>
                <c:pt idx="20">
                  <c:v>8.9668930868467491</c:v>
                </c:pt>
                <c:pt idx="21">
                  <c:v>9.1211406033272624</c:v>
                </c:pt>
                <c:pt idx="22">
                  <c:v>9.2741872648255281</c:v>
                </c:pt>
                <c:pt idx="23">
                  <c:v>9.4264666478926813</c:v>
                </c:pt>
                <c:pt idx="24">
                  <c:v>9.5782291944140834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41-49EC-BABD-19A4B688BA52}"/>
            </c:ext>
          </c:extLst>
        </c:ser>
        <c:ser>
          <c:idx val="9"/>
          <c:order val="9"/>
          <c:tx>
            <c:v>All_no_rarity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3"/>
            <c:dispRSqr val="1"/>
            <c:dispEq val="1"/>
            <c:trendlineLbl>
              <c:layout>
                <c:manualLayout>
                  <c:x val="-0.61452349632702996"/>
                  <c:y val="4.1303247871232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data_trim_MPN_regression!$Q$2:$Q$34</c:f>
              <c:numCache>
                <c:formatCode>General</c:formatCode>
                <c:ptCount val="33"/>
                <c:pt idx="0">
                  <c:v>8.2341440282603742</c:v>
                </c:pt>
                <c:pt idx="1">
                  <c:v>8.8919314342223235</c:v>
                </c:pt>
                <c:pt idx="2">
                  <c:v>8.2341440282603742</c:v>
                </c:pt>
                <c:pt idx="3">
                  <c:v>7.8089497229447025</c:v>
                </c:pt>
                <c:pt idx="4">
                  <c:v>8.3572198218687177</c:v>
                </c:pt>
                <c:pt idx="5">
                  <c:v>8.7643612976558138</c:v>
                </c:pt>
                <c:pt idx="6">
                  <c:v>7.9454995545820433</c:v>
                </c:pt>
                <c:pt idx="7">
                  <c:v>8.433439308765692</c:v>
                </c:pt>
                <c:pt idx="8">
                  <c:v>8.0198583147993681</c:v>
                </c:pt>
                <c:pt idx="9">
                  <c:v>8.4821195071944917</c:v>
                </c:pt>
                <c:pt idx="10">
                  <c:v>9.073130254466049</c:v>
                </c:pt>
                <c:pt idx="11">
                  <c:v>9.4095992294330735</c:v>
                </c:pt>
                <c:pt idx="12">
                  <c:v>9.8089497229447034</c:v>
                </c:pt>
                <c:pt idx="13">
                  <c:v>9.4821195071944917</c:v>
                </c:pt>
                <c:pt idx="14">
                  <c:v>9.4290575632187235</c:v>
                </c:pt>
                <c:pt idx="15">
                  <c:v>9.3572198218687088</c:v>
                </c:pt>
                <c:pt idx="16">
                  <c:v>8.9943636816220121</c:v>
                </c:pt>
                <c:pt idx="17">
                  <c:v>8.9943636816220121</c:v>
                </c:pt>
                <c:pt idx="18">
                  <c:v>8.75381433874756</c:v>
                </c:pt>
                <c:pt idx="19">
                  <c:v>9.2003075859100498</c:v>
                </c:pt>
                <c:pt idx="20">
                  <c:v>9.2742332965551206</c:v>
                </c:pt>
                <c:pt idx="21">
                  <c:v>8.8879477486695126</c:v>
                </c:pt>
                <c:pt idx="22">
                  <c:v>8.2322008729743708</c:v>
                </c:pt>
                <c:pt idx="23">
                  <c:v>8.4076560741471429</c:v>
                </c:pt>
                <c:pt idx="24">
                  <c:v>8.551881353564097</c:v>
                </c:pt>
                <c:pt idx="25">
                  <c:v>8.7624181423698122</c:v>
                </c:pt>
                <c:pt idx="26">
                  <c:v>8.551881353564097</c:v>
                </c:pt>
                <c:pt idx="27">
                  <c:v>9.618210164706996</c:v>
                </c:pt>
                <c:pt idx="28">
                  <c:v>9.8070065676587017</c:v>
                </c:pt>
                <c:pt idx="29">
                  <c:v>9.3860527650149539</c:v>
                </c:pt>
                <c:pt idx="30">
                  <c:v>9.0179151595133717</c:v>
                </c:pt>
                <c:pt idx="31">
                  <c:v>9.1422919626813428</c:v>
                </c:pt>
                <c:pt idx="32">
                  <c:v>9.4076560741470718</c:v>
                </c:pt>
              </c:numCache>
            </c:numRef>
          </c:xVal>
          <c:yVal>
            <c:numRef>
              <c:f>data_trim_MPN_regression!$S$2:$S$34</c:f>
              <c:numCache>
                <c:formatCode>General</c:formatCode>
                <c:ptCount val="33"/>
                <c:pt idx="0">
                  <c:v>7.8010060921492332</c:v>
                </c:pt>
                <c:pt idx="1">
                  <c:v>8.3420769004355328</c:v>
                </c:pt>
                <c:pt idx="2">
                  <c:v>7.8036145379865518</c:v>
                </c:pt>
                <c:pt idx="3">
                  <c:v>7.7822420381159683</c:v>
                </c:pt>
                <c:pt idx="4">
                  <c:v>7.8218768070207103</c:v>
                </c:pt>
                <c:pt idx="5">
                  <c:v>8.0190586454557842</c:v>
                </c:pt>
                <c:pt idx="6">
                  <c:v>7.484465321548373</c:v>
                </c:pt>
                <c:pt idx="7">
                  <c:v>7.5762906186122363</c:v>
                </c:pt>
                <c:pt idx="8">
                  <c:v>7.959097229431511</c:v>
                </c:pt>
                <c:pt idx="9">
                  <c:v>7.8535353114309956</c:v>
                </c:pt>
                <c:pt idx="10">
                  <c:v>9.0296265704866769</c:v>
                </c:pt>
                <c:pt idx="11">
                  <c:v>8.5882150418302601</c:v>
                </c:pt>
                <c:pt idx="12">
                  <c:v>9.0099672838335625</c:v>
                </c:pt>
                <c:pt idx="13">
                  <c:v>8.7802901232329518</c:v>
                </c:pt>
                <c:pt idx="14">
                  <c:v>9.0422706215029169</c:v>
                </c:pt>
                <c:pt idx="15">
                  <c:v>9.097594738939863</c:v>
                </c:pt>
                <c:pt idx="16">
                  <c:v>8.3688831300769664</c:v>
                </c:pt>
                <c:pt idx="17">
                  <c:v>8.6479740309110671</c:v>
                </c:pt>
                <c:pt idx="18">
                  <c:v>8.7286939638031917</c:v>
                </c:pt>
                <c:pt idx="19">
                  <c:v>8.7160140251297094</c:v>
                </c:pt>
                <c:pt idx="20">
                  <c:v>8.7664365835732578</c:v>
                </c:pt>
                <c:pt idx="21">
                  <c:v>8.0678531344129869</c:v>
                </c:pt>
                <c:pt idx="22">
                  <c:v>7.7497722979332098</c:v>
                </c:pt>
                <c:pt idx="23">
                  <c:v>7.547630699023073</c:v>
                </c:pt>
                <c:pt idx="24">
                  <c:v>7.4915420585084975</c:v>
                </c:pt>
                <c:pt idx="25">
                  <c:v>7.9397390854947822</c:v>
                </c:pt>
                <c:pt idx="26">
                  <c:v>7.8248753918418315</c:v>
                </c:pt>
                <c:pt idx="27">
                  <c:v>9.0218969275173304</c:v>
                </c:pt>
                <c:pt idx="28">
                  <c:v>8.2214300805901512</c:v>
                </c:pt>
                <c:pt idx="29">
                  <c:v>8.7066711172629585</c:v>
                </c:pt>
                <c:pt idx="30">
                  <c:v>8.9129511744272421</c:v>
                </c:pt>
                <c:pt idx="31">
                  <c:v>8.936108429314281</c:v>
                </c:pt>
                <c:pt idx="32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41-49EC-BABD-19A4B688B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data_trim_MPN_regression!$C$2:$C$7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data_trim_MPN_regression!$E$2:$E$7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0741-49EC-BABD-19A4B688BA5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data_trim_MPN_regression!$E$38:$E$43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741-49EC-BABD-19A4B688BA52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</a:t>
                </a:r>
                <a:r>
                  <a:rPr lang="en-US" sz="2800" baseline="-25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10</a:t>
                </a: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</a:t>
                </a:r>
                <a:r>
                  <a:rPr lang="en-US" sz="2800" baseline="-25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10</a:t>
                </a: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xVal>
            <c:numRef>
              <c:f>BlandAlt_MPN_trim!$D$2:$D$34</c:f>
              <c:numCache>
                <c:formatCode>0.0000</c:formatCode>
                <c:ptCount val="33"/>
                <c:pt idx="0">
                  <c:v>8.0175750602048037</c:v>
                </c:pt>
                <c:pt idx="1">
                  <c:v>8.617004167328929</c:v>
                </c:pt>
                <c:pt idx="2">
                  <c:v>8.0188792831234625</c:v>
                </c:pt>
                <c:pt idx="3">
                  <c:v>7.7955958805303354</c:v>
                </c:pt>
                <c:pt idx="4">
                  <c:v>8.0895483144447144</c:v>
                </c:pt>
                <c:pt idx="5">
                  <c:v>8.3917099715557981</c:v>
                </c:pt>
                <c:pt idx="6">
                  <c:v>7.7149824380652081</c:v>
                </c:pt>
                <c:pt idx="7">
                  <c:v>8.0048649636889646</c:v>
                </c:pt>
                <c:pt idx="8">
                  <c:v>7.9894777721154391</c:v>
                </c:pt>
                <c:pt idx="9">
                  <c:v>8.1678274093127428</c:v>
                </c:pt>
                <c:pt idx="10">
                  <c:v>9.0513784124763639</c:v>
                </c:pt>
                <c:pt idx="11">
                  <c:v>8.9989071356316668</c:v>
                </c:pt>
                <c:pt idx="12">
                  <c:v>9.409458503389132</c:v>
                </c:pt>
                <c:pt idx="13">
                  <c:v>9.1312048152137208</c:v>
                </c:pt>
                <c:pt idx="14">
                  <c:v>9.2356640923608211</c:v>
                </c:pt>
                <c:pt idx="15">
                  <c:v>9.2274072804042859</c:v>
                </c:pt>
                <c:pt idx="16">
                  <c:v>8.6816234058494892</c:v>
                </c:pt>
                <c:pt idx="17">
                  <c:v>8.8211688562665387</c:v>
                </c:pt>
                <c:pt idx="18">
                  <c:v>8.7412541512753759</c:v>
                </c:pt>
                <c:pt idx="19">
                  <c:v>8.9581608055198796</c:v>
                </c:pt>
                <c:pt idx="20">
                  <c:v>9.0203349400641883</c:v>
                </c:pt>
                <c:pt idx="21">
                  <c:v>8.4779004415412498</c:v>
                </c:pt>
                <c:pt idx="22">
                  <c:v>7.9909865854537898</c:v>
                </c:pt>
                <c:pt idx="23">
                  <c:v>7.9776433865851075</c:v>
                </c:pt>
                <c:pt idx="24">
                  <c:v>8.0217117060362977</c:v>
                </c:pt>
                <c:pt idx="25">
                  <c:v>8.3510786139322981</c:v>
                </c:pt>
                <c:pt idx="26">
                  <c:v>8.1883783727029638</c:v>
                </c:pt>
                <c:pt idx="27">
                  <c:v>9.3200535461121632</c:v>
                </c:pt>
                <c:pt idx="28">
                  <c:v>9.0142183241244265</c:v>
                </c:pt>
                <c:pt idx="29">
                  <c:v>9.0463619411389562</c:v>
                </c:pt>
                <c:pt idx="30">
                  <c:v>8.9654331669703069</c:v>
                </c:pt>
                <c:pt idx="31">
                  <c:v>9.039200195997811</c:v>
                </c:pt>
                <c:pt idx="32">
                  <c:v>9.0792909413917258</c:v>
                </c:pt>
              </c:numCache>
            </c:numRef>
          </c:xVal>
          <c:yVal>
            <c:numRef>
              <c:f>BlandAlt_MPN_trim!$E$2:$E$34</c:f>
              <c:numCache>
                <c:formatCode>0.0000</c:formatCode>
                <c:ptCount val="33"/>
                <c:pt idx="0">
                  <c:v>-0.43313793611114093</c:v>
                </c:pt>
                <c:pt idx="1">
                  <c:v>-0.54985453378679061</c:v>
                </c:pt>
                <c:pt idx="2">
                  <c:v>-0.43052949027382237</c:v>
                </c:pt>
                <c:pt idx="3">
                  <c:v>-2.6707684828734202E-2</c:v>
                </c:pt>
                <c:pt idx="4">
                  <c:v>-0.53534301484800739</c:v>
                </c:pt>
                <c:pt idx="5">
                  <c:v>-0.74530265220002967</c:v>
                </c:pt>
                <c:pt idx="6">
                  <c:v>-0.4610342330336703</c:v>
                </c:pt>
                <c:pt idx="7">
                  <c:v>-0.85714869015345574</c:v>
                </c:pt>
                <c:pt idx="8">
                  <c:v>-6.0761085367857071E-2</c:v>
                </c:pt>
                <c:pt idx="9">
                  <c:v>-0.62858419576349611</c:v>
                </c:pt>
                <c:pt idx="10">
                  <c:v>-4.3503683979372099E-2</c:v>
                </c:pt>
                <c:pt idx="11">
                  <c:v>-0.8213841876028134</c:v>
                </c:pt>
                <c:pt idx="12">
                  <c:v>-0.79898243911114086</c:v>
                </c:pt>
                <c:pt idx="13">
                  <c:v>-0.70182938396153993</c:v>
                </c:pt>
                <c:pt idx="14">
                  <c:v>-0.38678694171580652</c:v>
                </c:pt>
                <c:pt idx="15">
                  <c:v>-0.25962508292884579</c:v>
                </c:pt>
                <c:pt idx="16">
                  <c:v>-0.62548055154504567</c:v>
                </c:pt>
                <c:pt idx="17">
                  <c:v>-0.34638965071094496</c:v>
                </c:pt>
                <c:pt idx="18">
                  <c:v>-2.5120374944368251E-2</c:v>
                </c:pt>
                <c:pt idx="19">
                  <c:v>-0.48429356078034047</c:v>
                </c:pt>
                <c:pt idx="20">
                  <c:v>-0.5077967129818628</c:v>
                </c:pt>
                <c:pt idx="21">
                  <c:v>-0.82009461425652574</c:v>
                </c:pt>
                <c:pt idx="22">
                  <c:v>-0.48242857504116099</c:v>
                </c:pt>
                <c:pt idx="23">
                  <c:v>-0.86002537512406985</c:v>
                </c:pt>
                <c:pt idx="24">
                  <c:v>-1.0603392950555994</c:v>
                </c:pt>
                <c:pt idx="25">
                  <c:v>-0.82267905687502996</c:v>
                </c:pt>
                <c:pt idx="26">
                  <c:v>-0.7270059617222655</c:v>
                </c:pt>
                <c:pt idx="27">
                  <c:v>-0.59631323718966556</c:v>
                </c:pt>
                <c:pt idx="28">
                  <c:v>-1.5855764870685505</c:v>
                </c:pt>
                <c:pt idx="29">
                  <c:v>-0.67938164775199539</c:v>
                </c:pt>
                <c:pt idx="30">
                  <c:v>-0.1049639850861297</c:v>
                </c:pt>
                <c:pt idx="31">
                  <c:v>-0.20618353336706186</c:v>
                </c:pt>
                <c:pt idx="32">
                  <c:v>-0.65673026551069213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A-41ED-8B71-9F30F200BBE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42A-41ED-8B71-9F30F200BBE0}"/>
              </c:ext>
            </c:extLst>
          </c:dPt>
          <c:xVal>
            <c:numRef>
              <c:f>BlandAlt_MPN_trim!$I$26:$I$27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BlandAlt_MPN_trim!$J$26:$J$27</c:f>
              <c:numCache>
                <c:formatCode>0.0000</c:formatCode>
                <c:ptCount val="2"/>
                <c:pt idx="0">
                  <c:v>-0.55549448850538885</c:v>
                </c:pt>
                <c:pt idx="1">
                  <c:v>-0.55549448850538885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A-41ED-8B71-9F30F200BBE0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2A-41ED-8B71-9F30F200BBE0}"/>
              </c:ext>
            </c:extLst>
          </c:dPt>
          <c:xVal>
            <c:numRef>
              <c:f>BlandAlt_MPN_trim!$I$32:$I$33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BlandAlt_MPN_trim!$J$32:$J$33</c:f>
              <c:numCache>
                <c:formatCode>0.00</c:formatCode>
                <c:ptCount val="2"/>
                <c:pt idx="0">
                  <c:v>-1.2037570034962766</c:v>
                </c:pt>
                <c:pt idx="1">
                  <c:v>-1.2037570034962766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2A-41ED-8B71-9F30F200BBE0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2A-41ED-8B71-9F30F200BBE0}"/>
              </c:ext>
            </c:extLst>
          </c:dPt>
          <c:xVal>
            <c:numRef>
              <c:f>BlandAlt_MPN_trim!$I$38:$I$39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BlandAlt_MPN_trim!$J$38:$J$39</c:f>
              <c:numCache>
                <c:formatCode>0.00</c:formatCode>
                <c:ptCount val="2"/>
                <c:pt idx="0">
                  <c:v>9.2768026485498756E-2</c:v>
                </c:pt>
                <c:pt idx="1">
                  <c:v>9.2768026485498756E-2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2A-41ED-8B71-9F30F200BBE0}"/>
            </c:ext>
          </c:extLst>
        </c:ser>
        <c:ser>
          <c:idx val="4"/>
          <c:order val="4"/>
          <c:tx>
            <c:v>ZERO</c:v>
          </c:tx>
          <c:spPr>
            <a:ln w="1905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2A-41ED-8B71-9F30F200BBE0}"/>
            </c:ext>
          </c:extLst>
        </c:ser>
        <c:ser>
          <c:idx val="5"/>
          <c:order val="5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BlandAlt_MPN_trim!$L$26:$L$27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BlandAlt_MPN_trim!$M$26:$M$27</c:f>
              <c:numCache>
                <c:formatCode>0.0000</c:formatCode>
                <c:ptCount val="2"/>
                <c:pt idx="0">
                  <c:v>-0.35301411846025604</c:v>
                </c:pt>
                <c:pt idx="1">
                  <c:v>-0.35301411846025604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2A-41ED-8B71-9F30F200BBE0}"/>
            </c:ext>
          </c:extLst>
        </c:ser>
        <c:ser>
          <c:idx val="6"/>
          <c:order val="6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BlandAlt_MPN_trim!$O$26:$O$27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BlandAlt_MPN_trim!$P$26:$P$27</c:f>
              <c:numCache>
                <c:formatCode>0.0000</c:formatCode>
                <c:ptCount val="2"/>
                <c:pt idx="0">
                  <c:v>-0.75797485855052171</c:v>
                </c:pt>
                <c:pt idx="1">
                  <c:v>-0.75797485855052171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42A-41ED-8B71-9F30F200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BlandAlt_MPN_trim!$L$32:$L$33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BlandAlt_MPN_trim!$M$32:$M$33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-1.0012766334511438</c:v>
                      </c:pt>
                      <c:pt idx="1">
                        <c:v>-1.0012766334511438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542A-41ED-8B71-9F30F200BBE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-1.4062373735414093</c:v>
                      </c:pt>
                      <c:pt idx="1">
                        <c:v>-1.4062373735414093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2A-41ED-8B71-9F30F200BBE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542A-41ED-8B71-9F30F200BBE0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542A-41ED-8B71-9F30F200BBE0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0.29524839653063156</c:v>
                      </c:pt>
                      <c:pt idx="1">
                        <c:v>0.29524839653063156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42A-41ED-8B71-9F30F200BBE0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-0.10971234355963405</c:v>
                      </c:pt>
                      <c:pt idx="1">
                        <c:v>-0.10971234355963405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42A-41ED-8B71-9F30F200BBE0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dPt>
            <c:idx val="33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610-4E83-B54E-CBA1CE40258E}"/>
              </c:ext>
            </c:extLst>
          </c:dPt>
          <c:dPt>
            <c:idx val="34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D610-4E83-B54E-CBA1CE40258E}"/>
              </c:ext>
            </c:extLst>
          </c:dPt>
          <c:dPt>
            <c:idx val="35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610-4E83-B54E-CBA1CE40258E}"/>
              </c:ext>
            </c:extLst>
          </c:dPt>
          <c:xVal>
            <c:numRef>
              <c:f>(BlandAlt_MPN_trim!$D$2:$D$34,BlandAlt_MPN_trim!$E$44:$E$46)</c:f>
              <c:numCache>
                <c:formatCode>0.0000</c:formatCode>
                <c:ptCount val="36"/>
                <c:pt idx="0">
                  <c:v>8.0175750602048037</c:v>
                </c:pt>
                <c:pt idx="1">
                  <c:v>8.617004167328929</c:v>
                </c:pt>
                <c:pt idx="2">
                  <c:v>8.0188792831234625</c:v>
                </c:pt>
                <c:pt idx="3">
                  <c:v>7.7955958805303354</c:v>
                </c:pt>
                <c:pt idx="4">
                  <c:v>8.0895483144447144</c:v>
                </c:pt>
                <c:pt idx="5">
                  <c:v>8.3917099715557981</c:v>
                </c:pt>
                <c:pt idx="6">
                  <c:v>7.7149824380652081</c:v>
                </c:pt>
                <c:pt idx="7">
                  <c:v>8.0048649636889646</c:v>
                </c:pt>
                <c:pt idx="8">
                  <c:v>7.9894777721154391</c:v>
                </c:pt>
                <c:pt idx="9">
                  <c:v>8.1678274093127428</c:v>
                </c:pt>
                <c:pt idx="10">
                  <c:v>9.0513784124763639</c:v>
                </c:pt>
                <c:pt idx="11">
                  <c:v>8.9989071356316668</c:v>
                </c:pt>
                <c:pt idx="12">
                  <c:v>9.409458503389132</c:v>
                </c:pt>
                <c:pt idx="13">
                  <c:v>9.1312048152137208</c:v>
                </c:pt>
                <c:pt idx="14">
                  <c:v>9.2356640923608211</c:v>
                </c:pt>
                <c:pt idx="15">
                  <c:v>9.2274072804042859</c:v>
                </c:pt>
                <c:pt idx="16">
                  <c:v>8.6816234058494892</c:v>
                </c:pt>
                <c:pt idx="17">
                  <c:v>8.8211688562665387</c:v>
                </c:pt>
                <c:pt idx="18">
                  <c:v>8.7412541512753759</c:v>
                </c:pt>
                <c:pt idx="19">
                  <c:v>8.9581608055198796</c:v>
                </c:pt>
                <c:pt idx="20">
                  <c:v>9.0203349400641883</c:v>
                </c:pt>
                <c:pt idx="21">
                  <c:v>8.4779004415412498</c:v>
                </c:pt>
                <c:pt idx="22">
                  <c:v>7.9909865854537898</c:v>
                </c:pt>
                <c:pt idx="23">
                  <c:v>7.9776433865851075</c:v>
                </c:pt>
                <c:pt idx="24">
                  <c:v>8.0217117060362977</c:v>
                </c:pt>
                <c:pt idx="25">
                  <c:v>8.3510786139322981</c:v>
                </c:pt>
                <c:pt idx="26">
                  <c:v>8.1883783727029638</c:v>
                </c:pt>
                <c:pt idx="27">
                  <c:v>9.3200535461121632</c:v>
                </c:pt>
                <c:pt idx="28">
                  <c:v>9.0142183241244265</c:v>
                </c:pt>
                <c:pt idx="29">
                  <c:v>9.0463619411389562</c:v>
                </c:pt>
                <c:pt idx="30">
                  <c:v>8.9654331669703069</c:v>
                </c:pt>
                <c:pt idx="31">
                  <c:v>9.039200195997811</c:v>
                </c:pt>
                <c:pt idx="32">
                  <c:v>9.0792909413917258</c:v>
                </c:pt>
                <c:pt idx="33" formatCode="General">
                  <c:v>6.4473720903706511</c:v>
                </c:pt>
                <c:pt idx="34" formatCode="General">
                  <c:v>7.4119324660076247</c:v>
                </c:pt>
                <c:pt idx="35" formatCode="General">
                  <c:v>8.542111685368118</c:v>
                </c:pt>
              </c:numCache>
            </c:numRef>
          </c:xVal>
          <c:yVal>
            <c:numRef>
              <c:f>(BlandAlt_MPN_trim!$E$2:$E$34,BlandAlt_MPN_trim!$F$44:$F$46)</c:f>
              <c:numCache>
                <c:formatCode>0.0000</c:formatCode>
                <c:ptCount val="36"/>
                <c:pt idx="0">
                  <c:v>-0.43313793611114093</c:v>
                </c:pt>
                <c:pt idx="1">
                  <c:v>-0.54985453378679061</c:v>
                </c:pt>
                <c:pt idx="2">
                  <c:v>-0.43052949027382237</c:v>
                </c:pt>
                <c:pt idx="3">
                  <c:v>-2.6707684828734202E-2</c:v>
                </c:pt>
                <c:pt idx="4">
                  <c:v>-0.53534301484800739</c:v>
                </c:pt>
                <c:pt idx="5">
                  <c:v>-0.74530265220002967</c:v>
                </c:pt>
                <c:pt idx="6">
                  <c:v>-0.4610342330336703</c:v>
                </c:pt>
                <c:pt idx="7">
                  <c:v>-0.85714869015345574</c:v>
                </c:pt>
                <c:pt idx="8">
                  <c:v>-6.0761085367857071E-2</c:v>
                </c:pt>
                <c:pt idx="9">
                  <c:v>-0.62858419576349611</c:v>
                </c:pt>
                <c:pt idx="10">
                  <c:v>-4.3503683979372099E-2</c:v>
                </c:pt>
                <c:pt idx="11">
                  <c:v>-0.8213841876028134</c:v>
                </c:pt>
                <c:pt idx="12">
                  <c:v>-0.79898243911114086</c:v>
                </c:pt>
                <c:pt idx="13">
                  <c:v>-0.70182938396153993</c:v>
                </c:pt>
                <c:pt idx="14">
                  <c:v>-0.38678694171580652</c:v>
                </c:pt>
                <c:pt idx="15">
                  <c:v>-0.25962508292884579</c:v>
                </c:pt>
                <c:pt idx="16">
                  <c:v>-0.62548055154504567</c:v>
                </c:pt>
                <c:pt idx="17">
                  <c:v>-0.34638965071094496</c:v>
                </c:pt>
                <c:pt idx="18">
                  <c:v>-2.5120374944368251E-2</c:v>
                </c:pt>
                <c:pt idx="19">
                  <c:v>-0.48429356078034047</c:v>
                </c:pt>
                <c:pt idx="20">
                  <c:v>-0.5077967129818628</c:v>
                </c:pt>
                <c:pt idx="21">
                  <c:v>-0.82009461425652574</c:v>
                </c:pt>
                <c:pt idx="22">
                  <c:v>-0.48242857504116099</c:v>
                </c:pt>
                <c:pt idx="23">
                  <c:v>-0.86002537512406985</c:v>
                </c:pt>
                <c:pt idx="24">
                  <c:v>-1.0603392950555994</c:v>
                </c:pt>
                <c:pt idx="25">
                  <c:v>-0.82267905687502996</c:v>
                </c:pt>
                <c:pt idx="26">
                  <c:v>-0.7270059617222655</c:v>
                </c:pt>
                <c:pt idx="27">
                  <c:v>-0.59631323718966556</c:v>
                </c:pt>
                <c:pt idx="28">
                  <c:v>-1.5855764870685505</c:v>
                </c:pt>
                <c:pt idx="29">
                  <c:v>-0.67938164775199539</c:v>
                </c:pt>
                <c:pt idx="30">
                  <c:v>-0.1049639850861297</c:v>
                </c:pt>
                <c:pt idx="31">
                  <c:v>-0.20618353336706186</c:v>
                </c:pt>
                <c:pt idx="32">
                  <c:v>-0.65673026551069213</c:v>
                </c:pt>
                <c:pt idx="33" formatCode="General">
                  <c:v>2.1656352577056515</c:v>
                </c:pt>
                <c:pt idx="34" formatCode="General">
                  <c:v>0.37790711464983673</c:v>
                </c:pt>
                <c:pt idx="35" formatCode="General">
                  <c:v>-1.1981563771252732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0-4E83-B54E-CBA1CE40258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610-4E83-B54E-CBA1CE40258E}"/>
              </c:ext>
            </c:extLst>
          </c:dPt>
          <c:xVal>
            <c:numRef>
              <c:f>BlandAlt_MPN_trim!$I$26:$I$27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BlandAlt_MPN_trim!$J$26:$J$27</c:f>
              <c:numCache>
                <c:formatCode>0.0000</c:formatCode>
                <c:ptCount val="2"/>
                <c:pt idx="0">
                  <c:v>-0.55549448850538885</c:v>
                </c:pt>
                <c:pt idx="1">
                  <c:v>-0.55549448850538885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0-4E83-B54E-CBA1CE40258E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610-4E83-B54E-CBA1CE40258E}"/>
              </c:ext>
            </c:extLst>
          </c:dPt>
          <c:xVal>
            <c:numRef>
              <c:f>BlandAlt_MPN_trim!$I$32:$I$33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BlandAlt_MPN_trim!$J$32:$J$33</c:f>
              <c:numCache>
                <c:formatCode>0.00</c:formatCode>
                <c:ptCount val="2"/>
                <c:pt idx="0">
                  <c:v>-1.2037570034962766</c:v>
                </c:pt>
                <c:pt idx="1">
                  <c:v>-1.2037570034962766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10-4E83-B54E-CBA1CE40258E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0-4E83-B54E-CBA1CE40258E}"/>
              </c:ext>
            </c:extLst>
          </c:dPt>
          <c:xVal>
            <c:numRef>
              <c:f>BlandAlt_MPN_trim!$I$38:$I$39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BlandAlt_MPN_trim!$J$38:$J$39</c:f>
              <c:numCache>
                <c:formatCode>0.00</c:formatCode>
                <c:ptCount val="2"/>
                <c:pt idx="0">
                  <c:v>9.2768026485498756E-2</c:v>
                </c:pt>
                <c:pt idx="1">
                  <c:v>9.2768026485498756E-2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610-4E83-B54E-CBA1CE40258E}"/>
            </c:ext>
          </c:extLst>
        </c:ser>
        <c:ser>
          <c:idx val="5"/>
          <c:order val="4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BlandAlt_MPN_trim!$L$26:$L$27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BlandAlt_MPN_trim!$M$26:$M$27</c:f>
              <c:numCache>
                <c:formatCode>0.0000</c:formatCode>
                <c:ptCount val="2"/>
                <c:pt idx="0">
                  <c:v>-0.35301411846025604</c:v>
                </c:pt>
                <c:pt idx="1">
                  <c:v>-0.35301411846025604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610-4E83-B54E-CBA1CE40258E}"/>
            </c:ext>
          </c:extLst>
        </c:ser>
        <c:ser>
          <c:idx val="6"/>
          <c:order val="5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BlandAlt_MPN_trim!$O$26:$O$27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BlandAlt_MPN_trim!$P$26:$P$27</c:f>
              <c:numCache>
                <c:formatCode>0.0000</c:formatCode>
                <c:ptCount val="2"/>
                <c:pt idx="0">
                  <c:v>-0.75797485855052171</c:v>
                </c:pt>
                <c:pt idx="1">
                  <c:v>-0.75797485855052171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610-4E83-B54E-CBA1CE402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6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BlandAlt_MPN_trim!$L$32:$L$33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BlandAlt_MPN_trim!$M$32:$M$33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-1.0012766334511438</c:v>
                      </c:pt>
                      <c:pt idx="1">
                        <c:v>-1.0012766334511438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D610-4E83-B54E-CBA1CE40258E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-1.4062373735414093</c:v>
                      </c:pt>
                      <c:pt idx="1">
                        <c:v>-1.4062373735414093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610-4E83-B54E-CBA1CE40258E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D610-4E83-B54E-CBA1CE40258E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D610-4E83-B54E-CBA1CE40258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0.29524839653063156</c:v>
                      </c:pt>
                      <c:pt idx="1">
                        <c:v>0.29524839653063156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610-4E83-B54E-CBA1CE40258E}"/>
                  </c:ext>
                </c:extLst>
              </c15:ser>
            </c15:filteredScatterSeries>
            <c15:filteredScatterSeries>
              <c15:ser>
                <c:idx val="10"/>
                <c:order val="9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BlandAlt_MPN_trim!$P$38:$P$39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-0.10971234355963405</c:v>
                      </c:pt>
                      <c:pt idx="1">
                        <c:v>-0.10971234355963405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610-4E83-B54E-CBA1CE40258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6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2540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C2_outlierb4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50E-4B12-9633-835CE7A43EC3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50E-4B12-9633-835CE7A43EC3}"/>
              </c:ext>
            </c:extLst>
          </c:dPt>
          <c:dPt>
            <c:idx val="2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E-4B12-9633-835CE7A43EC3}"/>
              </c:ext>
            </c:extLst>
          </c:dPt>
          <c:xVal>
            <c:numRef>
              <c:f>data_trim_MPNadj_regresion!$D$8:$D$13</c:f>
              <c:numCache>
                <c:formatCode>General</c:formatCode>
                <c:ptCount val="6"/>
                <c:pt idx="0">
                  <c:v>5.3269438826450264</c:v>
                </c:pt>
                <c:pt idx="1">
                  <c:v>7.1759008420245616</c:v>
                </c:pt>
                <c:pt idx="2">
                  <c:v>8.1886280846892312</c:v>
                </c:pt>
                <c:pt idx="3">
                  <c:v>8.8073631419576675</c:v>
                </c:pt>
                <c:pt idx="4">
                  <c:v>8.1886280846892312</c:v>
                </c:pt>
                <c:pt idx="5">
                  <c:v>7.7347758523589683</c:v>
                </c:pt>
              </c:numCache>
            </c:numRef>
          </c:xVal>
          <c:yVal>
            <c:numRef>
              <c:f>data_trim_MPNadj_regresion!$E$8:$E$13</c:f>
              <c:numCache>
                <c:formatCode>General</c:formatCode>
                <c:ptCount val="6"/>
                <c:pt idx="0">
                  <c:v>7.5301897192234764</c:v>
                </c:pt>
                <c:pt idx="1">
                  <c:v>7.600886023332543</c:v>
                </c:pt>
                <c:pt idx="2">
                  <c:v>7.8010060921492332</c:v>
                </c:pt>
                <c:pt idx="3">
                  <c:v>8.3420769004355328</c:v>
                </c:pt>
                <c:pt idx="4">
                  <c:v>7.8036145379865518</c:v>
                </c:pt>
                <c:pt idx="5">
                  <c:v>7.7822420381159683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0E-4B12-9633-835CE7A43EC3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pattFill prst="ltDnDiag">
                <a:fgClr>
                  <a:srgbClr val="0070C0"/>
                </a:fgClr>
                <a:bgClr>
                  <a:schemeClr val="bg1"/>
                </a:bgClr>
              </a:patt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data_trim_MPNadj_regresion!$D$14:$D$19</c:f>
              <c:numCache>
                <c:formatCode>General</c:formatCode>
                <c:ptCount val="6"/>
                <c:pt idx="0">
                  <c:v>8.3194936964926871</c:v>
                </c:pt>
                <c:pt idx="1">
                  <c:v>8.6964437922704736</c:v>
                </c:pt>
                <c:pt idx="2">
                  <c:v>7.8563273221240033</c:v>
                </c:pt>
                <c:pt idx="3">
                  <c:v>8.3941183312560934</c:v>
                </c:pt>
                <c:pt idx="4">
                  <c:v>7.9305691490684538</c:v>
                </c:pt>
                <c:pt idx="5">
                  <c:v>8.4405588330644097</c:v>
                </c:pt>
              </c:numCache>
            </c:numRef>
          </c:xVal>
          <c:yVal>
            <c:numRef>
              <c:f>data_trim_MPNadj_regresion!$E$14:$E$19</c:f>
              <c:numCache>
                <c:formatCode>General</c:formatCode>
                <c:ptCount val="6"/>
                <c:pt idx="0">
                  <c:v>7.8218768070207103</c:v>
                </c:pt>
                <c:pt idx="1">
                  <c:v>8.0190586454557842</c:v>
                </c:pt>
                <c:pt idx="2">
                  <c:v>7.484465321548373</c:v>
                </c:pt>
                <c:pt idx="3">
                  <c:v>7.5762906186122363</c:v>
                </c:pt>
                <c:pt idx="4">
                  <c:v>7.959097229431511</c:v>
                </c:pt>
                <c:pt idx="5">
                  <c:v>7.8535353114309956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0E-4B12-9633-835CE7A43EC3}"/>
            </c:ext>
          </c:extLst>
        </c:ser>
        <c:ser>
          <c:idx val="3"/>
          <c:order val="3"/>
          <c:tx>
            <c:v>C4_outlierA3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0E-4B12-9633-835CE7A43EC3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bg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50E-4B12-9633-835CE7A43EC3}"/>
              </c:ext>
            </c:extLst>
          </c:dPt>
          <c:xVal>
            <c:numRef>
              <c:f>data_trim_MPNadj_regresion!$D$26:$D$31</c:f>
              <c:numCache>
                <c:formatCode>General</c:formatCode>
                <c:ptCount val="6"/>
                <c:pt idx="0">
                  <c:v>9.0775675245890675</c:v>
                </c:pt>
                <c:pt idx="1">
                  <c:v>8.9049021797530337</c:v>
                </c:pt>
                <c:pt idx="2">
                  <c:v>8.9049021797530337</c:v>
                </c:pt>
                <c:pt idx="3">
                  <c:v>8.6875136349547581</c:v>
                </c:pt>
                <c:pt idx="4">
                  <c:v>9.1495116736567876</c:v>
                </c:pt>
                <c:pt idx="5">
                  <c:v>9.2323033137223529</c:v>
                </c:pt>
              </c:numCache>
            </c:numRef>
          </c:xVal>
          <c:yVal>
            <c:numRef>
              <c:f>data_trim_MPNadj_regresion!$E$26:$E$31</c:f>
              <c:numCache>
                <c:formatCode>General</c:formatCode>
                <c:ptCount val="6"/>
                <c:pt idx="0">
                  <c:v>7.943033496805481</c:v>
                </c:pt>
                <c:pt idx="1">
                  <c:v>8.3688831300769664</c:v>
                </c:pt>
                <c:pt idx="2">
                  <c:v>8.6479740309110671</c:v>
                </c:pt>
                <c:pt idx="3">
                  <c:v>8.7286939638031917</c:v>
                </c:pt>
                <c:pt idx="4">
                  <c:v>8.7160140251297094</c:v>
                </c:pt>
                <c:pt idx="5">
                  <c:v>8.7664365835732578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E-4B12-9633-835CE7A43EC3}"/>
            </c:ext>
          </c:extLst>
        </c:ser>
        <c:ser>
          <c:idx val="4"/>
          <c:order val="4"/>
          <c:tx>
            <c:v>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data_trim_MPNadj_regresion!$D$32:$D$37</c:f>
              <c:numCache>
                <c:formatCode>General</c:formatCode>
                <c:ptCount val="6"/>
                <c:pt idx="0">
                  <c:v>8.8036130171770157</c:v>
                </c:pt>
                <c:pt idx="1">
                  <c:v>8.1866849294032296</c:v>
                </c:pt>
                <c:pt idx="2">
                  <c:v>8.36785960747007</c:v>
                </c:pt>
                <c:pt idx="3">
                  <c:v>8.5058256606117801</c:v>
                </c:pt>
                <c:pt idx="4">
                  <c:v>8.694500636984472</c:v>
                </c:pt>
                <c:pt idx="5">
                  <c:v>8.5058256606117801</c:v>
                </c:pt>
              </c:numCache>
            </c:numRef>
          </c:xVal>
          <c:yVal>
            <c:numRef>
              <c:f>data_trim_MPNadj_regresion!$E$32:$E$37</c:f>
              <c:numCache>
                <c:formatCode>General</c:formatCode>
                <c:ptCount val="6"/>
                <c:pt idx="0">
                  <c:v>8.0678531344129869</c:v>
                </c:pt>
                <c:pt idx="1">
                  <c:v>7.7497722979332098</c:v>
                </c:pt>
                <c:pt idx="2">
                  <c:v>7.547630699023073</c:v>
                </c:pt>
                <c:pt idx="3">
                  <c:v>7.4915420585084975</c:v>
                </c:pt>
                <c:pt idx="4">
                  <c:v>7.9397390854947822</c:v>
                </c:pt>
                <c:pt idx="5">
                  <c:v>7.8248753918418315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E-4B12-9633-835CE7A43EC3}"/>
            </c:ext>
          </c:extLst>
        </c:ser>
        <c:ser>
          <c:idx val="6"/>
          <c:order val="6"/>
          <c:tx>
            <c:v>rfp-Rs5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data_trim_MPNadj_regresion!$D$44:$D$49</c:f>
              <c:numCache>
                <c:formatCode>General</c:formatCode>
                <c:ptCount val="6"/>
                <c:pt idx="0">
                  <c:v>9.5667577474522449</c:v>
                </c:pt>
                <c:pt idx="1">
                  <c:v>9.7328326970729684</c:v>
                </c:pt>
                <c:pt idx="2">
                  <c:v>9.3481637834513869</c:v>
                </c:pt>
                <c:pt idx="3">
                  <c:v>8.9286259937824575</c:v>
                </c:pt>
                <c:pt idx="4">
                  <c:v>9.0773381007077738</c:v>
                </c:pt>
                <c:pt idx="5">
                  <c:v>9.3678596074699989</c:v>
                </c:pt>
              </c:numCache>
            </c:numRef>
          </c:xVal>
          <c:yVal>
            <c:numRef>
              <c:f>(data_trim_MPNadj_regresion!$E$20:$E$25,data_trim_MPNadj_regresion!$E$44:$E$49)</c:f>
              <c:numCache>
                <c:formatCode>General</c:formatCode>
                <c:ptCount val="12"/>
                <c:pt idx="0">
                  <c:v>9.0296265704866769</c:v>
                </c:pt>
                <c:pt idx="1">
                  <c:v>8.5882150418302601</c:v>
                </c:pt>
                <c:pt idx="2">
                  <c:v>9.0099672838335625</c:v>
                </c:pt>
                <c:pt idx="3">
                  <c:v>8.7802901232329518</c:v>
                </c:pt>
                <c:pt idx="4">
                  <c:v>9.0422706215029169</c:v>
                </c:pt>
                <c:pt idx="5">
                  <c:v>9.097594738939863</c:v>
                </c:pt>
                <c:pt idx="6">
                  <c:v>9.0218969275173304</c:v>
                </c:pt>
                <c:pt idx="7">
                  <c:v>8.2214300805901512</c:v>
                </c:pt>
                <c:pt idx="8">
                  <c:v>8.7066711172629585</c:v>
                </c:pt>
                <c:pt idx="9">
                  <c:v>8.9129511744272421</c:v>
                </c:pt>
                <c:pt idx="10">
                  <c:v>8.936108429314281</c:v>
                </c:pt>
                <c:pt idx="11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50E-4B12-9633-835CE7A43EC3}"/>
            </c:ext>
          </c:extLst>
        </c:ser>
        <c:ser>
          <c:idx val="7"/>
          <c:order val="7"/>
          <c:tx>
            <c:v>95_UP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data_trim_MPNadj_regresion!$T$38:$T$62</c:f>
              <c:numCache>
                <c:formatCode>General</c:formatCode>
                <c:ptCount val="25"/>
                <c:pt idx="0">
                  <c:v>5.9949764510452983</c:v>
                </c:pt>
                <c:pt idx="1">
                  <c:v>6.1450945338969385</c:v>
                </c:pt>
                <c:pt idx="2">
                  <c:v>6.2952957357080308</c:v>
                </c:pt>
                <c:pt idx="3">
                  <c:v>6.445599869803643</c:v>
                </c:pt>
                <c:pt idx="4">
                  <c:v>6.596033528155548</c:v>
                </c:pt>
                <c:pt idx="5">
                  <c:v>6.7466332162553684</c:v>
                </c:pt>
                <c:pt idx="6">
                  <c:v>6.8974503782804542</c:v>
                </c:pt>
                <c:pt idx="7">
                  <c:v>7.0485597641188491</c:v>
                </c:pt>
                <c:pt idx="8">
                  <c:v>7.2000739854223177</c:v>
                </c:pt>
                <c:pt idx="9">
                  <c:v>7.3521701581318393</c:v>
                </c:pt>
                <c:pt idx="10">
                  <c:v>7.5051416041189842</c:v>
                </c:pt>
                <c:pt idx="11">
                  <c:v>7.6595049789827607</c:v>
                </c:pt>
                <c:pt idx="12">
                  <c:v>7.8162376044108273</c:v>
                </c:pt>
                <c:pt idx="13">
                  <c:v>7.9773269626024694</c:v>
                </c:pt>
                <c:pt idx="14">
                  <c:v>8.1469506981098281</c:v>
                </c:pt>
                <c:pt idx="15">
                  <c:v>8.3327075301432618</c:v>
                </c:pt>
                <c:pt idx="16">
                  <c:v>8.5415694374982234</c:v>
                </c:pt>
                <c:pt idx="17">
                  <c:v>8.7707074365404267</c:v>
                </c:pt>
                <c:pt idx="18">
                  <c:v>9.0116951729953758</c:v>
                </c:pt>
                <c:pt idx="19">
                  <c:v>9.2587090954737992</c:v>
                </c:pt>
                <c:pt idx="20">
                  <c:v>9.5088846074712592</c:v>
                </c:pt>
                <c:pt idx="21">
                  <c:v>9.7608495249831293</c:v>
                </c:pt>
                <c:pt idx="22">
                  <c:v>10.013904504957102</c:v>
                </c:pt>
                <c:pt idx="23">
                  <c:v>10.267665749783767</c:v>
                </c:pt>
                <c:pt idx="24">
                  <c:v>10.521908106685469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50E-4B12-9633-835CE7A43EC3}"/>
            </c:ext>
          </c:extLst>
        </c:ser>
        <c:ser>
          <c:idx val="8"/>
          <c:order val="8"/>
          <c:tx>
            <c:v>95_LOW</c:v>
          </c:tx>
          <c:spPr>
            <a:ln w="12700" cap="rnd">
              <a:solidFill>
                <a:srgbClr val="FF0000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data_trim_MPNadj_regresion!$S$38:$S$62</c:f>
              <c:numCache>
                <c:formatCode>General</c:formatCode>
                <c:ptCount val="25"/>
                <c:pt idx="0">
                  <c:v>4.3565073256725348</c:v>
                </c:pt>
                <c:pt idx="1">
                  <c:v>4.6119219727030112</c:v>
                </c:pt>
                <c:pt idx="2">
                  <c:v>4.8672535007740372</c:v>
                </c:pt>
                <c:pt idx="3">
                  <c:v>5.1224820965605433</c:v>
                </c:pt>
                <c:pt idx="4">
                  <c:v>5.3775811680907566</c:v>
                </c:pt>
                <c:pt idx="5">
                  <c:v>5.6325142098730545</c:v>
                </c:pt>
                <c:pt idx="6">
                  <c:v>5.8872297777300853</c:v>
                </c:pt>
                <c:pt idx="7">
                  <c:v>6.1416531217738086</c:v>
                </c:pt>
                <c:pt idx="8">
                  <c:v>6.3956716303524583</c:v>
                </c:pt>
                <c:pt idx="9">
                  <c:v>6.6491081875250551</c:v>
                </c:pt>
                <c:pt idx="10">
                  <c:v>6.9016694714200266</c:v>
                </c:pt>
                <c:pt idx="11">
                  <c:v>7.1528388264383684</c:v>
                </c:pt>
                <c:pt idx="12">
                  <c:v>7.4016389308924202</c:v>
                </c:pt>
                <c:pt idx="13">
                  <c:v>7.6460823025828963</c:v>
                </c:pt>
                <c:pt idx="14">
                  <c:v>7.8819912969576551</c:v>
                </c:pt>
                <c:pt idx="15">
                  <c:v>8.1017671948063406</c:v>
                </c:pt>
                <c:pt idx="16">
                  <c:v>8.2984380173334973</c:v>
                </c:pt>
                <c:pt idx="17">
                  <c:v>8.4748327481734123</c:v>
                </c:pt>
                <c:pt idx="18">
                  <c:v>8.6393777416005815</c:v>
                </c:pt>
                <c:pt idx="19">
                  <c:v>8.7978965490042729</c:v>
                </c:pt>
                <c:pt idx="20">
                  <c:v>8.9532537668889347</c:v>
                </c:pt>
                <c:pt idx="21">
                  <c:v>9.1068215792591829</c:v>
                </c:pt>
                <c:pt idx="22">
                  <c:v>9.2592993291673213</c:v>
                </c:pt>
                <c:pt idx="23">
                  <c:v>9.411070814222775</c:v>
                </c:pt>
                <c:pt idx="24">
                  <c:v>9.5623611872031908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50E-4B12-9633-835CE7A43EC3}"/>
            </c:ext>
          </c:extLst>
        </c:ser>
        <c:ser>
          <c:idx val="9"/>
          <c:order val="9"/>
          <c:tx>
            <c:v>All_no_rarity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3"/>
            <c:dispRSqr val="1"/>
            <c:dispEq val="1"/>
            <c:trendlineLbl>
              <c:layout>
                <c:manualLayout>
                  <c:x val="-0.56360614873286252"/>
                  <c:y val="-1.25407481227572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data_trim_MPNadj_regresion!$R$2:$R$34</c:f>
              <c:numCache>
                <c:formatCode>General</c:formatCode>
                <c:ptCount val="33"/>
                <c:pt idx="0">
                  <c:v>8.1886280846892312</c:v>
                </c:pt>
                <c:pt idx="1">
                  <c:v>8.8073631419576675</c:v>
                </c:pt>
                <c:pt idx="2">
                  <c:v>8.1886280846892312</c:v>
                </c:pt>
                <c:pt idx="3">
                  <c:v>7.7347758523589683</c:v>
                </c:pt>
                <c:pt idx="4">
                  <c:v>8.3194936964926871</c:v>
                </c:pt>
                <c:pt idx="5">
                  <c:v>8.6964437922704736</c:v>
                </c:pt>
                <c:pt idx="6">
                  <c:v>7.8563273221240033</c:v>
                </c:pt>
                <c:pt idx="7">
                  <c:v>8.3941183312560934</c:v>
                </c:pt>
                <c:pt idx="8">
                  <c:v>7.9305691490684538</c:v>
                </c:pt>
                <c:pt idx="9">
                  <c:v>8.4405588330644097</c:v>
                </c:pt>
                <c:pt idx="10">
                  <c:v>8.9932665341224087</c:v>
                </c:pt>
                <c:pt idx="11">
                  <c:v>9.3698027627560005</c:v>
                </c:pt>
                <c:pt idx="12">
                  <c:v>9.73477585235897</c:v>
                </c:pt>
                <c:pt idx="13">
                  <c:v>9.4405588330644132</c:v>
                </c:pt>
                <c:pt idx="14">
                  <c:v>9.3900313382247553</c:v>
                </c:pt>
                <c:pt idx="15">
                  <c:v>9.3194936964926764</c:v>
                </c:pt>
                <c:pt idx="16">
                  <c:v>8.9049021797530337</c:v>
                </c:pt>
                <c:pt idx="17">
                  <c:v>8.9049021797530337</c:v>
                </c:pt>
                <c:pt idx="18">
                  <c:v>8.6875136349547581</c:v>
                </c:pt>
                <c:pt idx="19">
                  <c:v>9.1495116736567876</c:v>
                </c:pt>
                <c:pt idx="20">
                  <c:v>9.2323033137223529</c:v>
                </c:pt>
                <c:pt idx="21">
                  <c:v>8.8036130171770157</c:v>
                </c:pt>
                <c:pt idx="22">
                  <c:v>8.1866849294032296</c:v>
                </c:pt>
                <c:pt idx="23">
                  <c:v>8.36785960747007</c:v>
                </c:pt>
                <c:pt idx="24">
                  <c:v>8.5058256606117801</c:v>
                </c:pt>
                <c:pt idx="25">
                  <c:v>8.694500636984472</c:v>
                </c:pt>
                <c:pt idx="26">
                  <c:v>8.5058256606117801</c:v>
                </c:pt>
                <c:pt idx="27">
                  <c:v>9.5667577474522449</c:v>
                </c:pt>
                <c:pt idx="28">
                  <c:v>9.7328326970729684</c:v>
                </c:pt>
                <c:pt idx="29">
                  <c:v>9.3481637834513869</c:v>
                </c:pt>
                <c:pt idx="30">
                  <c:v>8.9286259937824575</c:v>
                </c:pt>
                <c:pt idx="31">
                  <c:v>9.0773381007077738</c:v>
                </c:pt>
                <c:pt idx="32">
                  <c:v>9.3678596074699989</c:v>
                </c:pt>
              </c:numCache>
            </c:numRef>
          </c:xVal>
          <c:yVal>
            <c:numRef>
              <c:f>data_trim_MPNadj_regresion!$S$2:$S$34</c:f>
              <c:numCache>
                <c:formatCode>General</c:formatCode>
                <c:ptCount val="33"/>
                <c:pt idx="0">
                  <c:v>7.8010060921492332</c:v>
                </c:pt>
                <c:pt idx="1">
                  <c:v>8.3420769004355328</c:v>
                </c:pt>
                <c:pt idx="2">
                  <c:v>7.8036145379865518</c:v>
                </c:pt>
                <c:pt idx="3">
                  <c:v>7.7822420381159683</c:v>
                </c:pt>
                <c:pt idx="4">
                  <c:v>7.8218768070207103</c:v>
                </c:pt>
                <c:pt idx="5">
                  <c:v>8.0190586454557842</c:v>
                </c:pt>
                <c:pt idx="6">
                  <c:v>7.484465321548373</c:v>
                </c:pt>
                <c:pt idx="7">
                  <c:v>7.5762906186122363</c:v>
                </c:pt>
                <c:pt idx="8">
                  <c:v>7.959097229431511</c:v>
                </c:pt>
                <c:pt idx="9">
                  <c:v>7.8535353114309956</c:v>
                </c:pt>
                <c:pt idx="10">
                  <c:v>9.0296265704866769</c:v>
                </c:pt>
                <c:pt idx="11">
                  <c:v>8.5882150418302601</c:v>
                </c:pt>
                <c:pt idx="12">
                  <c:v>9.0099672838335625</c:v>
                </c:pt>
                <c:pt idx="13">
                  <c:v>8.7802901232329518</c:v>
                </c:pt>
                <c:pt idx="14">
                  <c:v>9.0422706215029169</c:v>
                </c:pt>
                <c:pt idx="15">
                  <c:v>9.097594738939863</c:v>
                </c:pt>
                <c:pt idx="16">
                  <c:v>8.3688831300769664</c:v>
                </c:pt>
                <c:pt idx="17">
                  <c:v>8.6479740309110671</c:v>
                </c:pt>
                <c:pt idx="18">
                  <c:v>8.7286939638031917</c:v>
                </c:pt>
                <c:pt idx="19">
                  <c:v>8.7160140251297094</c:v>
                </c:pt>
                <c:pt idx="20">
                  <c:v>8.7664365835732578</c:v>
                </c:pt>
                <c:pt idx="21">
                  <c:v>8.0678531344129869</c:v>
                </c:pt>
                <c:pt idx="22">
                  <c:v>7.7497722979332098</c:v>
                </c:pt>
                <c:pt idx="23">
                  <c:v>7.547630699023073</c:v>
                </c:pt>
                <c:pt idx="24">
                  <c:v>7.4915420585084975</c:v>
                </c:pt>
                <c:pt idx="25">
                  <c:v>7.9397390854947822</c:v>
                </c:pt>
                <c:pt idx="26">
                  <c:v>7.8248753918418315</c:v>
                </c:pt>
                <c:pt idx="27">
                  <c:v>9.0218969275173304</c:v>
                </c:pt>
                <c:pt idx="28">
                  <c:v>8.2214300805901512</c:v>
                </c:pt>
                <c:pt idx="29">
                  <c:v>8.7066711172629585</c:v>
                </c:pt>
                <c:pt idx="30">
                  <c:v>8.9129511744272421</c:v>
                </c:pt>
                <c:pt idx="31">
                  <c:v>8.936108429314281</c:v>
                </c:pt>
                <c:pt idx="32">
                  <c:v>8.7509258086363797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50E-4B12-9633-835CE7A4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204000"/>
        <c:axId val="2131202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C1_outlier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data_trim_MPNadj_regresion!$C$2:$C$7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9.2761764518411223</c:v>
                      </c:pt>
                      <c:pt idx="1">
                        <c:v>9.4095992294330735</c:v>
                      </c:pt>
                      <c:pt idx="2">
                        <c:v>8.8807963700692447</c:v>
                      </c:pt>
                      <c:pt idx="3">
                        <c:v>9.1442351179673445</c:v>
                      </c:pt>
                      <c:pt idx="4">
                        <c:v>8.6201533199929941</c:v>
                      </c:pt>
                      <c:pt idx="5">
                        <c:v>9.1116674551846319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data_trim_MPNadj_regresion!$E$2:$E$7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950E-4B12-9633-835CE7A43E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C6_falsenegative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data_trim_MPNadj_regresion!$C$38:$C$43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8.7297610410454674</c:v>
                      </c:pt>
                      <c:pt idx="1">
                        <c:v>9.0179151595133717</c:v>
                      </c:pt>
                      <c:pt idx="2">
                        <c:v>9.1422919626813428</c:v>
                      </c:pt>
                      <c:pt idx="3">
                        <c:v>9.1422919626813428</c:v>
                      </c:pt>
                      <c:pt idx="4">
                        <c:v>8.8441198531901524</c:v>
                      </c:pt>
                      <c:pt idx="5">
                        <c:v>9.2742332965551206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data_trim_MPNadj_regresion!$E$38:$E$43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0E-4B12-9633-835CE7A43EC3}"/>
                  </c:ext>
                </c:extLst>
              </c15:ser>
            </c15:filteredScatterSeries>
          </c:ext>
        </c:extLst>
      </c:scatterChart>
      <c:valAx>
        <c:axId val="2131204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2080"/>
        <c:crosses val="autoZero"/>
        <c:crossBetween val="midCat"/>
        <c:majorUnit val="1"/>
      </c:valAx>
      <c:valAx>
        <c:axId val="2131202080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31204000"/>
        <c:crosses val="autoZero"/>
        <c:crossBetween val="midCat"/>
        <c:maj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data_trim_MPNadj_regresion!$R$37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data_trim_MPNadj_regresion!$R$38:$R$62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D-4D48-AE4A-E108428ACDD0}"/>
            </c:ext>
          </c:extLst>
        </c:ser>
        <c:ser>
          <c:idx val="1"/>
          <c:order val="1"/>
          <c:tx>
            <c:strRef>
              <c:f>data_trim_MPNadj_regresion!$S$37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data_trim_MPNadj_regresion!$S$38:$S$62</c:f>
              <c:numCache>
                <c:formatCode>General</c:formatCode>
                <c:ptCount val="25"/>
                <c:pt idx="0">
                  <c:v>4.3565073256725348</c:v>
                </c:pt>
                <c:pt idx="1">
                  <c:v>4.6119219727030112</c:v>
                </c:pt>
                <c:pt idx="2">
                  <c:v>4.8672535007740372</c:v>
                </c:pt>
                <c:pt idx="3">
                  <c:v>5.1224820965605433</c:v>
                </c:pt>
                <c:pt idx="4">
                  <c:v>5.3775811680907566</c:v>
                </c:pt>
                <c:pt idx="5">
                  <c:v>5.6325142098730545</c:v>
                </c:pt>
                <c:pt idx="6">
                  <c:v>5.8872297777300853</c:v>
                </c:pt>
                <c:pt idx="7">
                  <c:v>6.1416531217738086</c:v>
                </c:pt>
                <c:pt idx="8">
                  <c:v>6.3956716303524583</c:v>
                </c:pt>
                <c:pt idx="9">
                  <c:v>6.6491081875250551</c:v>
                </c:pt>
                <c:pt idx="10">
                  <c:v>6.9016694714200266</c:v>
                </c:pt>
                <c:pt idx="11">
                  <c:v>7.1528388264383684</c:v>
                </c:pt>
                <c:pt idx="12">
                  <c:v>7.4016389308924202</c:v>
                </c:pt>
                <c:pt idx="13">
                  <c:v>7.6460823025828963</c:v>
                </c:pt>
                <c:pt idx="14">
                  <c:v>7.8819912969576551</c:v>
                </c:pt>
                <c:pt idx="15">
                  <c:v>8.1017671948063406</c:v>
                </c:pt>
                <c:pt idx="16">
                  <c:v>8.2984380173334973</c:v>
                </c:pt>
                <c:pt idx="17">
                  <c:v>8.4748327481734123</c:v>
                </c:pt>
                <c:pt idx="18">
                  <c:v>8.6393777416005815</c:v>
                </c:pt>
                <c:pt idx="19">
                  <c:v>8.7978965490042729</c:v>
                </c:pt>
                <c:pt idx="20">
                  <c:v>8.9532537668889347</c:v>
                </c:pt>
                <c:pt idx="21">
                  <c:v>9.1068215792591829</c:v>
                </c:pt>
                <c:pt idx="22">
                  <c:v>9.2592993291673213</c:v>
                </c:pt>
                <c:pt idx="23">
                  <c:v>9.411070814222775</c:v>
                </c:pt>
                <c:pt idx="24">
                  <c:v>9.5623611872031908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D-4D48-AE4A-E108428ACDD0}"/>
            </c:ext>
          </c:extLst>
        </c:ser>
        <c:ser>
          <c:idx val="2"/>
          <c:order val="2"/>
          <c:tx>
            <c:strRef>
              <c:f>data_trim_MPNadj_regresion!$T$37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data_trim_MPNadj_regresion!$T$38:$T$62</c:f>
              <c:numCache>
                <c:formatCode>General</c:formatCode>
                <c:ptCount val="25"/>
                <c:pt idx="0">
                  <c:v>5.9949764510452983</c:v>
                </c:pt>
                <c:pt idx="1">
                  <c:v>6.1450945338969385</c:v>
                </c:pt>
                <c:pt idx="2">
                  <c:v>6.2952957357080308</c:v>
                </c:pt>
                <c:pt idx="3">
                  <c:v>6.445599869803643</c:v>
                </c:pt>
                <c:pt idx="4">
                  <c:v>6.596033528155548</c:v>
                </c:pt>
                <c:pt idx="5">
                  <c:v>6.7466332162553684</c:v>
                </c:pt>
                <c:pt idx="6">
                  <c:v>6.8974503782804542</c:v>
                </c:pt>
                <c:pt idx="7">
                  <c:v>7.0485597641188491</c:v>
                </c:pt>
                <c:pt idx="8">
                  <c:v>7.2000739854223177</c:v>
                </c:pt>
                <c:pt idx="9">
                  <c:v>7.3521701581318393</c:v>
                </c:pt>
                <c:pt idx="10">
                  <c:v>7.5051416041189842</c:v>
                </c:pt>
                <c:pt idx="11">
                  <c:v>7.6595049789827607</c:v>
                </c:pt>
                <c:pt idx="12">
                  <c:v>7.8162376044108273</c:v>
                </c:pt>
                <c:pt idx="13">
                  <c:v>7.9773269626024694</c:v>
                </c:pt>
                <c:pt idx="14">
                  <c:v>8.1469506981098281</c:v>
                </c:pt>
                <c:pt idx="15">
                  <c:v>8.3327075301432618</c:v>
                </c:pt>
                <c:pt idx="16">
                  <c:v>8.5415694374982234</c:v>
                </c:pt>
                <c:pt idx="17">
                  <c:v>8.7707074365404267</c:v>
                </c:pt>
                <c:pt idx="18">
                  <c:v>9.0116951729953758</c:v>
                </c:pt>
                <c:pt idx="19">
                  <c:v>9.2587090954737992</c:v>
                </c:pt>
                <c:pt idx="20">
                  <c:v>9.5088846074712592</c:v>
                </c:pt>
                <c:pt idx="21">
                  <c:v>9.7608495249831293</c:v>
                </c:pt>
                <c:pt idx="22">
                  <c:v>10.013904504957102</c:v>
                </c:pt>
                <c:pt idx="23">
                  <c:v>10.267665749783767</c:v>
                </c:pt>
                <c:pt idx="24">
                  <c:v>10.521908106685469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D-4D48-AE4A-E108428A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39391"/>
        <c:axId val="368936511"/>
      </c:lineChart>
      <c:catAx>
        <c:axId val="36893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6511"/>
        <c:crosses val="autoZero"/>
        <c:auto val="1"/>
        <c:lblAlgn val="ctr"/>
        <c:lblOffset val="100"/>
        <c:noMultiLvlLbl val="0"/>
      </c:catAx>
      <c:valAx>
        <c:axId val="3689365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393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data_trim_MPNadj_regresion!$V$37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data_trim_MPNadj_regresion!$Q$38:$Q$62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data_trim_MPNadj_regresion!$V$38:$V$62</c:f>
              <c:numCache>
                <c:formatCode>General</c:formatCode>
                <c:ptCount val="25"/>
                <c:pt idx="0">
                  <c:v>5.1757418883589166</c:v>
                </c:pt>
                <c:pt idx="1">
                  <c:v>5.3785082532999748</c:v>
                </c:pt>
                <c:pt idx="2">
                  <c:v>5.581274618241034</c:v>
                </c:pt>
                <c:pt idx="3">
                  <c:v>5.7840409831820931</c:v>
                </c:pt>
                <c:pt idx="4">
                  <c:v>5.9868073481231523</c:v>
                </c:pt>
                <c:pt idx="5">
                  <c:v>6.1895737130642114</c:v>
                </c:pt>
                <c:pt idx="6">
                  <c:v>6.3923400780052697</c:v>
                </c:pt>
                <c:pt idx="7">
                  <c:v>6.5951064429463289</c:v>
                </c:pt>
                <c:pt idx="8">
                  <c:v>6.797872807887388</c:v>
                </c:pt>
                <c:pt idx="9">
                  <c:v>7.0006391728284472</c:v>
                </c:pt>
                <c:pt idx="10">
                  <c:v>7.2034055377695054</c:v>
                </c:pt>
                <c:pt idx="11">
                  <c:v>7.4061719027105646</c:v>
                </c:pt>
                <c:pt idx="12">
                  <c:v>7.6089382676516237</c:v>
                </c:pt>
                <c:pt idx="13">
                  <c:v>7.8117046325926829</c:v>
                </c:pt>
                <c:pt idx="14">
                  <c:v>8.014470997533742</c:v>
                </c:pt>
                <c:pt idx="15">
                  <c:v>8.2172373624748012</c:v>
                </c:pt>
                <c:pt idx="16">
                  <c:v>8.4200037274158603</c:v>
                </c:pt>
                <c:pt idx="17">
                  <c:v>8.6227700923569195</c:v>
                </c:pt>
                <c:pt idx="18">
                  <c:v>8.8255364572979786</c:v>
                </c:pt>
                <c:pt idx="19">
                  <c:v>9.028302822239036</c:v>
                </c:pt>
                <c:pt idx="20">
                  <c:v>9.2310691871800969</c:v>
                </c:pt>
                <c:pt idx="21">
                  <c:v>9.4338355521211561</c:v>
                </c:pt>
                <c:pt idx="22">
                  <c:v>9.6366019170622117</c:v>
                </c:pt>
                <c:pt idx="23">
                  <c:v>9.8393682820032708</c:v>
                </c:pt>
                <c:pt idx="24">
                  <c:v>10.04213464694433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3-4C9F-A034-42CBBCAC63E7}"/>
            </c:ext>
          </c:extLst>
        </c:ser>
        <c:ser>
          <c:idx val="1"/>
          <c:order val="1"/>
          <c:tx>
            <c:strRef>
              <c:f>data_trim_MPNadj_regresion!$W$37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data_trim_MPNadj_regresion!$W$38:$W$62</c:f>
              <c:numCache>
                <c:formatCode>General</c:formatCode>
                <c:ptCount val="25"/>
                <c:pt idx="0">
                  <c:v>4.1242925149506533</c:v>
                </c:pt>
                <c:pt idx="1">
                  <c:v>4.3675408741327892</c:v>
                </c:pt>
                <c:pt idx="2">
                  <c:v>4.6095613517217897</c:v>
                </c:pt>
                <c:pt idx="3">
                  <c:v>4.8501990925985607</c:v>
                </c:pt>
                <c:pt idx="4">
                  <c:v>5.0892790451836039</c:v>
                </c:pt>
                <c:pt idx="5">
                  <c:v>5.3266045327128735</c:v>
                </c:pt>
                <c:pt idx="6">
                  <c:v>5.5619564729258055</c:v>
                </c:pt>
                <c:pt idx="7">
                  <c:v>5.7950936739088155</c:v>
                </c:pt>
                <c:pt idx="8">
                  <c:v>6.0257547447965383</c:v>
                </c:pt>
                <c:pt idx="9">
                  <c:v>6.2536622322412194</c:v>
                </c:pt>
                <c:pt idx="10">
                  <c:v>6.4785295691536753</c:v>
                </c:pt>
                <c:pt idx="11">
                  <c:v>6.7000712273998726</c:v>
                </c:pt>
                <c:pt idx="12">
                  <c:v>6.9180160352972964</c:v>
                </c:pt>
                <c:pt idx="13">
                  <c:v>7.1321229433613205</c:v>
                </c:pt>
                <c:pt idx="14">
                  <c:v>7.3421976995325418</c:v>
                </c:pt>
                <c:pt idx="15">
                  <c:v>7.5481081703436672</c:v>
                </c:pt>
                <c:pt idx="16">
                  <c:v>7.7497957462573916</c:v>
                </c:pt>
                <c:pt idx="17">
                  <c:v>7.947280659467884</c:v>
                </c:pt>
                <c:pt idx="18">
                  <c:v>8.140660130089346</c:v>
                </c:pt>
                <c:pt idx="19">
                  <c:v>8.3300997236447838</c:v>
                </c:pt>
                <c:pt idx="20">
                  <c:v>8.5158196336029999</c:v>
                </c:pt>
                <c:pt idx="21">
                  <c:v>8.6980783539996214</c:v>
                </c:pt>
                <c:pt idx="22">
                  <c:v>8.8771562251441765</c:v>
                </c:pt>
                <c:pt idx="23">
                  <c:v>9.053340778001111</c:v>
                </c:pt>
                <c:pt idx="24">
                  <c:v>9.2269149901568692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3-4C9F-A034-42CBBCAC63E7}"/>
            </c:ext>
          </c:extLst>
        </c:ser>
        <c:ser>
          <c:idx val="2"/>
          <c:order val="2"/>
          <c:tx>
            <c:strRef>
              <c:f>data_trim_MPNadj_regresion!$X$37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data_trim_MPNadj_regresion!$X$38:$X$62</c:f>
              <c:numCache>
                <c:formatCode>General</c:formatCode>
                <c:ptCount val="25"/>
                <c:pt idx="0">
                  <c:v>6.2271912617671799</c:v>
                </c:pt>
                <c:pt idx="1">
                  <c:v>6.3894756324671604</c:v>
                </c:pt>
                <c:pt idx="2">
                  <c:v>6.5529878847602783</c:v>
                </c:pt>
                <c:pt idx="3">
                  <c:v>6.7178828737656255</c:v>
                </c:pt>
                <c:pt idx="4">
                  <c:v>6.8843356510627007</c:v>
                </c:pt>
                <c:pt idx="5">
                  <c:v>7.0525428934155494</c:v>
                </c:pt>
                <c:pt idx="6">
                  <c:v>7.2227236830847339</c:v>
                </c:pt>
                <c:pt idx="7">
                  <c:v>7.3951192119838423</c:v>
                </c:pt>
                <c:pt idx="8">
                  <c:v>7.5699908709782378</c:v>
                </c:pt>
                <c:pt idx="9">
                  <c:v>7.7476161134156749</c:v>
                </c:pt>
                <c:pt idx="10">
                  <c:v>7.9282815063853356</c:v>
                </c:pt>
                <c:pt idx="11">
                  <c:v>8.1122725780212566</c:v>
                </c:pt>
                <c:pt idx="12">
                  <c:v>8.2998605000059502</c:v>
                </c:pt>
                <c:pt idx="13">
                  <c:v>8.4912863218240453</c:v>
                </c:pt>
                <c:pt idx="14">
                  <c:v>8.6867442955349432</c:v>
                </c:pt>
                <c:pt idx="15">
                  <c:v>8.8863665546059352</c:v>
                </c:pt>
                <c:pt idx="16">
                  <c:v>9.0902117085743299</c:v>
                </c:pt>
                <c:pt idx="17">
                  <c:v>9.298259525245955</c:v>
                </c:pt>
                <c:pt idx="18">
                  <c:v>9.5104127845066113</c:v>
                </c:pt>
                <c:pt idx="19">
                  <c:v>9.7265059208332882</c:v>
                </c:pt>
                <c:pt idx="20">
                  <c:v>9.946318740757194</c:v>
                </c:pt>
                <c:pt idx="21">
                  <c:v>10.169592750242691</c:v>
                </c:pt>
                <c:pt idx="22">
                  <c:v>10.396047608980247</c:v>
                </c:pt>
                <c:pt idx="23">
                  <c:v>10.625395786005431</c:v>
                </c:pt>
                <c:pt idx="24">
                  <c:v>10.857354303731791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3-4C9F-A034-42CBBCAC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940831"/>
        <c:axId val="368934111"/>
      </c:lineChart>
      <c:catAx>
        <c:axId val="368940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934111"/>
        <c:crosses val="autoZero"/>
        <c:auto val="1"/>
        <c:lblAlgn val="ctr"/>
        <c:lblOffset val="100"/>
        <c:noMultiLvlLbl val="0"/>
      </c:catAx>
      <c:valAx>
        <c:axId val="3689341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94083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'BlandAlt_MPNadj_trim_norarity '!$D$2:$D$36</c:f>
              <c:numCache>
                <c:formatCode>0.0000</c:formatCode>
                <c:ptCount val="35"/>
                <c:pt idx="0">
                  <c:v>7.9948170884192322</c:v>
                </c:pt>
                <c:pt idx="1">
                  <c:v>8.574720021196601</c:v>
                </c:pt>
                <c:pt idx="2">
                  <c:v>7.9961213113378911</c:v>
                </c:pt>
                <c:pt idx="3">
                  <c:v>7.7585089452374678</c:v>
                </c:pt>
                <c:pt idx="4">
                  <c:v>8.0706852517566983</c:v>
                </c:pt>
                <c:pt idx="5">
                  <c:v>8.3577512188631289</c:v>
                </c:pt>
                <c:pt idx="6">
                  <c:v>7.6703963218361881</c:v>
                </c:pt>
                <c:pt idx="7">
                  <c:v>7.9852044749341644</c:v>
                </c:pt>
                <c:pt idx="8">
                  <c:v>7.9448331892499819</c:v>
                </c:pt>
                <c:pt idx="9">
                  <c:v>8.1470470722477017</c:v>
                </c:pt>
                <c:pt idx="10">
                  <c:v>9.0114465523045428</c:v>
                </c:pt>
                <c:pt idx="11">
                  <c:v>8.9790089022931312</c:v>
                </c:pt>
                <c:pt idx="12">
                  <c:v>9.3723715680962663</c:v>
                </c:pt>
                <c:pt idx="13">
                  <c:v>9.1104244781486834</c:v>
                </c:pt>
                <c:pt idx="14">
                  <c:v>9.216150979863837</c:v>
                </c:pt>
                <c:pt idx="15">
                  <c:v>9.2085442177162697</c:v>
                </c:pt>
                <c:pt idx="16">
                  <c:v>8.636892654915</c:v>
                </c:pt>
                <c:pt idx="17">
                  <c:v>8.7764381053320513</c:v>
                </c:pt>
                <c:pt idx="18">
                  <c:v>8.7081037993789749</c:v>
                </c:pt>
                <c:pt idx="19">
                  <c:v>8.9327628493932494</c:v>
                </c:pt>
                <c:pt idx="20">
                  <c:v>8.9993699486478054</c:v>
                </c:pt>
                <c:pt idx="21">
                  <c:v>8.4357330757950013</c:v>
                </c:pt>
                <c:pt idx="22">
                  <c:v>7.9682286136682201</c:v>
                </c:pt>
                <c:pt idx="23">
                  <c:v>7.9577451532465719</c:v>
                </c:pt>
                <c:pt idx="24">
                  <c:v>7.9986838595601384</c:v>
                </c:pt>
                <c:pt idx="25">
                  <c:v>8.3171198612396271</c:v>
                </c:pt>
                <c:pt idx="26">
                  <c:v>8.1653505262268062</c:v>
                </c:pt>
                <c:pt idx="27">
                  <c:v>9.2943273374847877</c:v>
                </c:pt>
                <c:pt idx="28">
                  <c:v>8.9771313888315589</c:v>
                </c:pt>
                <c:pt idx="29">
                  <c:v>9.0274174503571736</c:v>
                </c:pt>
                <c:pt idx="30">
                  <c:v>8.9207885841048498</c:v>
                </c:pt>
                <c:pt idx="31">
                  <c:v>9.0067232650110274</c:v>
                </c:pt>
                <c:pt idx="32">
                  <c:v>9.0593927080531884</c:v>
                </c:pt>
              </c:numCache>
            </c:numRef>
          </c:xVal>
          <c:yVal>
            <c:numRef>
              <c:f>'BlandAlt_MPNadj_trim_norarity '!$E$2:$E$36</c:f>
              <c:numCache>
                <c:formatCode>0.0000</c:formatCode>
                <c:ptCount val="35"/>
                <c:pt idx="0">
                  <c:v>-0.38762199253999796</c:v>
                </c:pt>
                <c:pt idx="1">
                  <c:v>-0.4652862415221346</c:v>
                </c:pt>
                <c:pt idx="2">
                  <c:v>-0.3850135467026794</c:v>
                </c:pt>
                <c:pt idx="3">
                  <c:v>4.7466185757000012E-2</c:v>
                </c:pt>
                <c:pt idx="4">
                  <c:v>-0.4976168894719768</c:v>
                </c:pt>
                <c:pt idx="5">
                  <c:v>-0.67738514681468942</c:v>
                </c:pt>
                <c:pt idx="6">
                  <c:v>-0.37186200057563035</c:v>
                </c:pt>
                <c:pt idx="7">
                  <c:v>-0.81782771264385712</c:v>
                </c:pt>
                <c:pt idx="8">
                  <c:v>2.8528080363057207E-2</c:v>
                </c:pt>
                <c:pt idx="9">
                  <c:v>-0.58702352163341409</c:v>
                </c:pt>
                <c:pt idx="10">
                  <c:v>3.6360036364268211E-2</c:v>
                </c:pt>
                <c:pt idx="11">
                  <c:v>-0.78158772092574047</c:v>
                </c:pt>
                <c:pt idx="12">
                  <c:v>-0.72480856852540754</c:v>
                </c:pt>
                <c:pt idx="13">
                  <c:v>-0.66026870983146146</c:v>
                </c:pt>
                <c:pt idx="14">
                  <c:v>-0.34776071672183839</c:v>
                </c:pt>
                <c:pt idx="15">
                  <c:v>-0.22189895755281341</c:v>
                </c:pt>
                <c:pt idx="16">
                  <c:v>-0.53601904967606728</c:v>
                </c:pt>
                <c:pt idx="17">
                  <c:v>-0.25692814884196657</c:v>
                </c:pt>
                <c:pt idx="18">
                  <c:v>4.1180328848433589E-2</c:v>
                </c:pt>
                <c:pt idx="19">
                  <c:v>-0.43349764852707828</c:v>
                </c:pt>
                <c:pt idx="20">
                  <c:v>-0.46586673014909508</c:v>
                </c:pt>
                <c:pt idx="21">
                  <c:v>-0.73575988276402882</c:v>
                </c:pt>
                <c:pt idx="22">
                  <c:v>-0.4369126314700198</c:v>
                </c:pt>
                <c:pt idx="23">
                  <c:v>-0.82022890844699692</c:v>
                </c:pt>
                <c:pt idx="24">
                  <c:v>-1.0142836021032826</c:v>
                </c:pt>
                <c:pt idx="25">
                  <c:v>-0.75476155148968971</c:v>
                </c:pt>
                <c:pt idx="26">
                  <c:v>-0.68095026876994869</c:v>
                </c:pt>
                <c:pt idx="27">
                  <c:v>-0.54486081993491453</c:v>
                </c:pt>
                <c:pt idx="28">
                  <c:v>-1.5114026164828172</c:v>
                </c:pt>
                <c:pt idx="29">
                  <c:v>-0.64149266618842837</c:v>
                </c:pt>
                <c:pt idx="30">
                  <c:v>-1.5674819355215419E-2</c:v>
                </c:pt>
                <c:pt idx="31">
                  <c:v>-0.14122967139349285</c:v>
                </c:pt>
                <c:pt idx="32">
                  <c:v>-0.61693379883361921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8-4B17-B5E0-96D26D22696C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6C8-4B17-B5E0-96D26D22696C}"/>
              </c:ext>
            </c:extLst>
          </c:dPt>
          <c:xVal>
            <c:numRef>
              <c:f>'BlandAlt_MPNadj_trim_norarity '!$I$26:$I$27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'!$J$26:$J$27</c:f>
              <c:numCache>
                <c:formatCode>0.0000</c:formatCode>
                <c:ptCount val="2"/>
                <c:pt idx="0">
                  <c:v>-0.4963403002592589</c:v>
                </c:pt>
                <c:pt idx="1">
                  <c:v>-0.4963403002592589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8-4B17-B5E0-96D26D22696C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6C8-4B17-B5E0-96D26D22696C}"/>
              </c:ext>
            </c:extLst>
          </c:dPt>
          <c:xVal>
            <c:numRef>
              <c:f>'BlandAlt_MPNadj_trim_norarity '!$I$32:$I$33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'!$J$32:$J$33</c:f>
              <c:numCache>
                <c:formatCode>0.00</c:formatCode>
                <c:ptCount val="2"/>
                <c:pt idx="0">
                  <c:v>-1.1547374547768585</c:v>
                </c:pt>
                <c:pt idx="1">
                  <c:v>-1.1547374547768585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C8-4B17-B5E0-96D26D22696C}"/>
            </c:ext>
          </c:extLst>
        </c:ser>
        <c:ser>
          <c:idx val="3"/>
          <c:order val="3"/>
          <c:tx>
            <c:v>upper agremment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C8-4B17-B5E0-96D26D22696C}"/>
              </c:ext>
            </c:extLst>
          </c:dPt>
          <c:xVal>
            <c:numRef>
              <c:f>'BlandAlt_MPNadj_trim_norarity '!$I$38:$I$39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'!$J$38:$J$39</c:f>
              <c:numCache>
                <c:formatCode>0.00</c:formatCode>
                <c:ptCount val="2"/>
                <c:pt idx="0">
                  <c:v>0.16205685425834071</c:v>
                </c:pt>
                <c:pt idx="1">
                  <c:v>0.16205685425834071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C8-4B17-B5E0-96D26D22696C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C8-4B17-B5E0-96D26D22696C}"/>
            </c:ext>
          </c:extLst>
        </c:ser>
        <c:ser>
          <c:idx val="5"/>
          <c:order val="5"/>
          <c:tx>
            <c:v>95CIblackline top</c:v>
          </c:tx>
          <c:spPr>
            <a:ln w="25400" cap="rnd">
              <a:solidFill>
                <a:schemeClr val="tx1">
                  <a:alpha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'!$L$26:$L$27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'!$M$26:$M$27</c:f>
              <c:numCache>
                <c:formatCode>0.0000</c:formatCode>
                <c:ptCount val="2"/>
                <c:pt idx="0">
                  <c:v>-0.29069444476002504</c:v>
                </c:pt>
                <c:pt idx="1">
                  <c:v>-0.29069444476002504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C8-4B17-B5E0-96D26D22696C}"/>
            </c:ext>
          </c:extLst>
        </c:ser>
        <c:ser>
          <c:idx val="6"/>
          <c:order val="6"/>
          <c:tx>
            <c:v>95CIblackline bottom</c:v>
          </c:tx>
          <c:spPr>
            <a:ln w="25400" cap="rnd">
              <a:solidFill>
                <a:schemeClr val="tx1">
                  <a:alpha val="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'!$O$26:$O$27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'!$P$26:$P$27</c:f>
              <c:numCache>
                <c:formatCode>0.0000</c:formatCode>
                <c:ptCount val="2"/>
                <c:pt idx="0">
                  <c:v>-0.70198615575849277</c:v>
                </c:pt>
                <c:pt idx="1">
                  <c:v>-0.70198615575849277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C8-4B17-B5E0-96D26D22696C}"/>
            </c:ext>
          </c:extLst>
        </c:ser>
        <c:ser>
          <c:idx val="7"/>
          <c:order val="7"/>
          <c:tx>
            <c:v>95CILoA top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'!$L$32:$L$33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'!$M$32:$M$33</c:f>
              <c:numCache>
                <c:formatCode>0.0000</c:formatCode>
                <c:ptCount val="2"/>
                <c:pt idx="0">
                  <c:v>-0.94909159927762465</c:v>
                </c:pt>
                <c:pt idx="1">
                  <c:v>-0.94909159927762465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C8-4B17-B5E0-96D26D22696C}"/>
            </c:ext>
          </c:extLst>
        </c:ser>
        <c:ser>
          <c:idx val="8"/>
          <c:order val="8"/>
          <c:tx>
            <c:v>95CILoA bottom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'!$O$32:$O$33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'!$P$32:$P$33</c:f>
              <c:numCache>
                <c:formatCode>0.0000</c:formatCode>
                <c:ptCount val="2"/>
                <c:pt idx="0">
                  <c:v>-1.3603833102760925</c:v>
                </c:pt>
                <c:pt idx="1">
                  <c:v>-1.3603833102760925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C8-4B17-B5E0-96D26D22696C}"/>
            </c:ext>
          </c:extLst>
        </c:ser>
        <c:ser>
          <c:idx val="9"/>
          <c:order val="9"/>
          <c:tx>
            <c:v>95CIUA top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66C8-4B17-B5E0-96D26D22696C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66C8-4B17-B5E0-96D26D22696C}"/>
              </c:ext>
            </c:extLst>
          </c:dPt>
          <c:xVal>
            <c:numRef>
              <c:f>'BlandAlt_MPNadj_trim_norarity '!$L$38:$L$39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'!$M$38:$M$39</c:f>
              <c:numCache>
                <c:formatCode>0.0000</c:formatCode>
                <c:ptCount val="2"/>
                <c:pt idx="0">
                  <c:v>0.36770270975757458</c:v>
                </c:pt>
                <c:pt idx="1">
                  <c:v>0.36770270975757458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6C8-4B17-B5E0-96D26D22696C}"/>
            </c:ext>
          </c:extLst>
        </c:ser>
        <c:ser>
          <c:idx val="10"/>
          <c:order val="10"/>
          <c:tx>
            <c:v>95CIUA bottom</c:v>
          </c:tx>
          <c:spPr>
            <a:ln w="25400" cap="rnd">
              <a:solidFill>
                <a:schemeClr val="tx1">
                  <a:alpha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'!$O$38:$O$39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'!$P$38:$P$39</c:f>
              <c:numCache>
                <c:formatCode>0.0000</c:formatCode>
                <c:ptCount val="2"/>
                <c:pt idx="0">
                  <c:v>-4.3589001240893183E-2</c:v>
                </c:pt>
                <c:pt idx="1">
                  <c:v>-4.3589001240893183E-2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C8-4B17-B5E0-96D26D226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81836412739321"/>
          <c:y val="4.3852781339071258E-2"/>
          <c:w val="0.77108919789810182"/>
          <c:h val="0.76038057230985989"/>
        </c:manualLayout>
      </c:layout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>
                    <a:alpha val="99000"/>
                  </a:schemeClr>
                </a:solidFill>
              </a:ln>
              <a:effectLst/>
            </c:spPr>
          </c:marker>
          <c:xVal>
            <c:numRef>
              <c:f>'BlandAlt_MPNadj_trim_norarity '!$D$2:$D$36</c:f>
              <c:numCache>
                <c:formatCode>0.0000</c:formatCode>
                <c:ptCount val="35"/>
                <c:pt idx="0">
                  <c:v>7.9948170884192322</c:v>
                </c:pt>
                <c:pt idx="1">
                  <c:v>8.574720021196601</c:v>
                </c:pt>
                <c:pt idx="2">
                  <c:v>7.9961213113378911</c:v>
                </c:pt>
                <c:pt idx="3">
                  <c:v>7.7585089452374678</c:v>
                </c:pt>
                <c:pt idx="4">
                  <c:v>8.0706852517566983</c:v>
                </c:pt>
                <c:pt idx="5">
                  <c:v>8.3577512188631289</c:v>
                </c:pt>
                <c:pt idx="6">
                  <c:v>7.6703963218361881</c:v>
                </c:pt>
                <c:pt idx="7">
                  <c:v>7.9852044749341644</c:v>
                </c:pt>
                <c:pt idx="8">
                  <c:v>7.9448331892499819</c:v>
                </c:pt>
                <c:pt idx="9">
                  <c:v>8.1470470722477017</c:v>
                </c:pt>
                <c:pt idx="10">
                  <c:v>9.0114465523045428</c:v>
                </c:pt>
                <c:pt idx="11">
                  <c:v>8.9790089022931312</c:v>
                </c:pt>
                <c:pt idx="12">
                  <c:v>9.3723715680962663</c:v>
                </c:pt>
                <c:pt idx="13">
                  <c:v>9.1104244781486834</c:v>
                </c:pt>
                <c:pt idx="14">
                  <c:v>9.216150979863837</c:v>
                </c:pt>
                <c:pt idx="15">
                  <c:v>9.2085442177162697</c:v>
                </c:pt>
                <c:pt idx="16">
                  <c:v>8.636892654915</c:v>
                </c:pt>
                <c:pt idx="17">
                  <c:v>8.7764381053320513</c:v>
                </c:pt>
                <c:pt idx="18">
                  <c:v>8.7081037993789749</c:v>
                </c:pt>
                <c:pt idx="19">
                  <c:v>8.9327628493932494</c:v>
                </c:pt>
                <c:pt idx="20">
                  <c:v>8.9993699486478054</c:v>
                </c:pt>
                <c:pt idx="21">
                  <c:v>8.4357330757950013</c:v>
                </c:pt>
                <c:pt idx="22">
                  <c:v>7.9682286136682201</c:v>
                </c:pt>
                <c:pt idx="23">
                  <c:v>7.9577451532465719</c:v>
                </c:pt>
                <c:pt idx="24">
                  <c:v>7.9986838595601384</c:v>
                </c:pt>
                <c:pt idx="25">
                  <c:v>8.3171198612396271</c:v>
                </c:pt>
                <c:pt idx="26">
                  <c:v>8.1653505262268062</c:v>
                </c:pt>
                <c:pt idx="27">
                  <c:v>9.2943273374847877</c:v>
                </c:pt>
                <c:pt idx="28">
                  <c:v>8.9771313888315589</c:v>
                </c:pt>
                <c:pt idx="29">
                  <c:v>9.0274174503571736</c:v>
                </c:pt>
                <c:pt idx="30">
                  <c:v>8.9207885841048498</c:v>
                </c:pt>
                <c:pt idx="31">
                  <c:v>9.0067232650110274</c:v>
                </c:pt>
                <c:pt idx="32">
                  <c:v>9.0593927080531884</c:v>
                </c:pt>
              </c:numCache>
            </c:numRef>
          </c:xVal>
          <c:yVal>
            <c:numRef>
              <c:f>'BlandAlt_MPNadj_trim_norarity '!$E$2:$E$36</c:f>
              <c:numCache>
                <c:formatCode>0.0000</c:formatCode>
                <c:ptCount val="35"/>
                <c:pt idx="0">
                  <c:v>-0.38762199253999796</c:v>
                </c:pt>
                <c:pt idx="1">
                  <c:v>-0.4652862415221346</c:v>
                </c:pt>
                <c:pt idx="2">
                  <c:v>-0.3850135467026794</c:v>
                </c:pt>
                <c:pt idx="3">
                  <c:v>4.7466185757000012E-2</c:v>
                </c:pt>
                <c:pt idx="4">
                  <c:v>-0.4976168894719768</c:v>
                </c:pt>
                <c:pt idx="5">
                  <c:v>-0.67738514681468942</c:v>
                </c:pt>
                <c:pt idx="6">
                  <c:v>-0.37186200057563035</c:v>
                </c:pt>
                <c:pt idx="7">
                  <c:v>-0.81782771264385712</c:v>
                </c:pt>
                <c:pt idx="8">
                  <c:v>2.8528080363057207E-2</c:v>
                </c:pt>
                <c:pt idx="9">
                  <c:v>-0.58702352163341409</c:v>
                </c:pt>
                <c:pt idx="10">
                  <c:v>3.6360036364268211E-2</c:v>
                </c:pt>
                <c:pt idx="11">
                  <c:v>-0.78158772092574047</c:v>
                </c:pt>
                <c:pt idx="12">
                  <c:v>-0.72480856852540754</c:v>
                </c:pt>
                <c:pt idx="13">
                  <c:v>-0.66026870983146146</c:v>
                </c:pt>
                <c:pt idx="14">
                  <c:v>-0.34776071672183839</c:v>
                </c:pt>
                <c:pt idx="15">
                  <c:v>-0.22189895755281341</c:v>
                </c:pt>
                <c:pt idx="16">
                  <c:v>-0.53601904967606728</c:v>
                </c:pt>
                <c:pt idx="17">
                  <c:v>-0.25692814884196657</c:v>
                </c:pt>
                <c:pt idx="18">
                  <c:v>4.1180328848433589E-2</c:v>
                </c:pt>
                <c:pt idx="19">
                  <c:v>-0.43349764852707828</c:v>
                </c:pt>
                <c:pt idx="20">
                  <c:v>-0.46586673014909508</c:v>
                </c:pt>
                <c:pt idx="21">
                  <c:v>-0.73575988276402882</c:v>
                </c:pt>
                <c:pt idx="22">
                  <c:v>-0.4369126314700198</c:v>
                </c:pt>
                <c:pt idx="23">
                  <c:v>-0.82022890844699692</c:v>
                </c:pt>
                <c:pt idx="24">
                  <c:v>-1.0142836021032826</c:v>
                </c:pt>
                <c:pt idx="25">
                  <c:v>-0.75476155148968971</c:v>
                </c:pt>
                <c:pt idx="26">
                  <c:v>-0.68095026876994869</c:v>
                </c:pt>
                <c:pt idx="27">
                  <c:v>-0.54486081993491453</c:v>
                </c:pt>
                <c:pt idx="28">
                  <c:v>-1.5114026164828172</c:v>
                </c:pt>
                <c:pt idx="29">
                  <c:v>-0.64149266618842837</c:v>
                </c:pt>
                <c:pt idx="30">
                  <c:v>-1.5674819355215419E-2</c:v>
                </c:pt>
                <c:pt idx="31">
                  <c:v>-0.14122967139349285</c:v>
                </c:pt>
                <c:pt idx="32">
                  <c:v>-0.61693379883361921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5-4122-AA0C-6EE941D46BF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765-4122-AA0C-6EE941D46BFE}"/>
              </c:ext>
            </c:extLst>
          </c:dPt>
          <c:xVal>
            <c:numRef>
              <c:f>'BlandAlt_MPNadj_trim_norarity '!$I$26:$I$27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'!$J$26:$J$27</c:f>
              <c:numCache>
                <c:formatCode>0.0000</c:formatCode>
                <c:ptCount val="2"/>
                <c:pt idx="0">
                  <c:v>-0.4963403002592589</c:v>
                </c:pt>
                <c:pt idx="1">
                  <c:v>-0.4963403002592589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5-4122-AA0C-6EE941D46BFE}"/>
            </c:ext>
          </c:extLst>
        </c:ser>
        <c:ser>
          <c:idx val="2"/>
          <c:order val="2"/>
          <c:tx>
            <c:v>lower agreement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765-4122-AA0C-6EE941D46BFE}"/>
              </c:ext>
            </c:extLst>
          </c:dPt>
          <c:xVal>
            <c:numRef>
              <c:f>'BlandAlt_MPNadj_trim_norarity '!$I$32:$I$33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'!$J$32:$J$33</c:f>
              <c:numCache>
                <c:formatCode>0.00</c:formatCode>
                <c:ptCount val="2"/>
                <c:pt idx="0">
                  <c:v>-1.1547374547768585</c:v>
                </c:pt>
                <c:pt idx="1">
                  <c:v>-1.1547374547768585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65-4122-AA0C-6EE941D46BFE}"/>
            </c:ext>
          </c:extLst>
        </c:ser>
        <c:ser>
          <c:idx val="3"/>
          <c:order val="3"/>
          <c:tx>
            <c:v>upper agremment</c:v>
          </c:tx>
          <c:spPr>
            <a:ln w="15875" cap="rnd" cmpd="sng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5875" cap="rnd" cmpd="sng">
                <a:solidFill>
                  <a:srgbClr val="FF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5-4122-AA0C-6EE941D46BFE}"/>
              </c:ext>
            </c:extLst>
          </c:dPt>
          <c:xVal>
            <c:numRef>
              <c:f>'BlandAlt_MPNadj_trim_norarity '!$I$38:$I$39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'!$J$38:$J$39</c:f>
              <c:numCache>
                <c:formatCode>0.00</c:formatCode>
                <c:ptCount val="2"/>
                <c:pt idx="0">
                  <c:v>0.16205685425834071</c:v>
                </c:pt>
                <c:pt idx="1">
                  <c:v>0.16205685425834071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65-4122-AA0C-6EE941D46BFE}"/>
            </c:ext>
          </c:extLst>
        </c:ser>
        <c:ser>
          <c:idx val="4"/>
          <c:order val="4"/>
          <c:tx>
            <c:v>ZERO</c:v>
          </c:tx>
          <c:spPr>
            <a:ln w="1905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[1]data_fixed_2BlandAlt!$I$43:$I$44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[1]data_fixed_2BlandAlt!$J$43:$J$44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65-4122-AA0C-6EE941D46BFE}"/>
            </c:ext>
          </c:extLst>
        </c:ser>
        <c:ser>
          <c:idx val="5"/>
          <c:order val="5"/>
          <c:tx>
            <c:v>95CIblackline top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'!$L$26:$L$27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'!$M$26:$M$27</c:f>
              <c:numCache>
                <c:formatCode>0.0000</c:formatCode>
                <c:ptCount val="2"/>
                <c:pt idx="0">
                  <c:v>-0.29069444476002504</c:v>
                </c:pt>
                <c:pt idx="1">
                  <c:v>-0.29069444476002504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65-4122-AA0C-6EE941D46BFE}"/>
            </c:ext>
          </c:extLst>
        </c:ser>
        <c:ser>
          <c:idx val="6"/>
          <c:order val="6"/>
          <c:tx>
            <c:v>95CIblackline bottom</c:v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'BlandAlt_MPNadj_trim_norarity '!$O$26:$O$27</c:f>
              <c:numCache>
                <c:formatCode>General</c:formatCode>
                <c:ptCount val="2"/>
                <c:pt idx="0">
                  <c:v>7</c:v>
                </c:pt>
                <c:pt idx="1">
                  <c:v>10</c:v>
                </c:pt>
              </c:numCache>
            </c:numRef>
          </c:xVal>
          <c:yVal>
            <c:numRef>
              <c:f>'BlandAlt_MPNadj_trim_norarity '!$P$26:$P$27</c:f>
              <c:numCache>
                <c:formatCode>0.0000</c:formatCode>
                <c:ptCount val="2"/>
                <c:pt idx="0">
                  <c:v>-0.70198615575849277</c:v>
                </c:pt>
                <c:pt idx="1">
                  <c:v>-0.70198615575849277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65-4122-AA0C-6EE941D4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95CILoA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'BlandAlt_MPNadj_trim_norarity '!$L$32:$L$33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'BlandAlt_MPNadj_trim_norarity '!$M$32:$M$33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-0.94909159927762465</c:v>
                      </c:pt>
                      <c:pt idx="1">
                        <c:v>-0.94909159927762465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765-4122-AA0C-6EE941D46BF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95CILoA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'!$O$32:$O$33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'!$P$32:$P$33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-1.3603833102760925</c:v>
                      </c:pt>
                      <c:pt idx="1">
                        <c:v>-1.3603833102760925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765-4122-AA0C-6EE941D46BF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95CIUA top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E-B765-4122-AA0C-6EE941D46BFE}"/>
                    </c:ext>
                  </c:extLst>
                </c:dPt>
                <c:dPt>
                  <c:idx val="1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F-B765-4122-AA0C-6EE941D46BFE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'!$L$38:$L$39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'!$M$38:$M$39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0.36770270975757458</c:v>
                      </c:pt>
                      <c:pt idx="1">
                        <c:v>0.36770270975757458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765-4122-AA0C-6EE941D46BF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95CIUA bottom</c:v>
                </c:tx>
                <c:spPr>
                  <a:ln w="25400" cap="rnd">
                    <a:solidFill>
                      <a:schemeClr val="tx1">
                        <a:alpha val="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'!$O$38:$O$39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'BlandAlt_MPNadj_trim_norarity '!$P$38:$P$39</c15:sqref>
                        </c15:formulaRef>
                      </c:ext>
                    </c:extLst>
                    <c:numCache>
                      <c:formatCode>0.0000</c:formatCode>
                      <c:ptCount val="2"/>
                      <c:pt idx="0">
                        <c:v>-4.3589001240893183E-2</c:v>
                      </c:pt>
                      <c:pt idx="1">
                        <c:v>-4.3589001240893183E-2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765-4122-AA0C-6EE941D46BF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7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chart" Target="../charts/chart5.xml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chart" Target="../charts/chart11.xml"/><Relationship Id="rId7" Type="http://schemas.openxmlformats.org/officeDocument/2006/relationships/image" Target="../media/image16.png"/><Relationship Id="rId2" Type="http://schemas.openxmlformats.org/officeDocument/2006/relationships/chart" Target="../charts/chart10.xml"/><Relationship Id="rId1" Type="http://schemas.openxmlformats.org/officeDocument/2006/relationships/image" Target="../media/image5.png"/><Relationship Id="rId6" Type="http://schemas.openxmlformats.org/officeDocument/2006/relationships/image" Target="../media/image15.emf"/><Relationship Id="rId5" Type="http://schemas.openxmlformats.org/officeDocument/2006/relationships/image" Target="../media/image14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222885</xdr:colOff>
      <xdr:row>6</xdr:row>
      <xdr:rowOff>3810</xdr:rowOff>
    </xdr:from>
    <xdr:to>
      <xdr:col>13</xdr:col>
      <xdr:colOff>544830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087FA-9D83-4D1F-8507-7AFCDD946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120015</xdr:colOff>
      <xdr:row>21</xdr:row>
      <xdr:rowOff>129540</xdr:rowOff>
    </xdr:from>
    <xdr:to>
      <xdr:col>31</xdr:col>
      <xdr:colOff>424815</xdr:colOff>
      <xdr:row>36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466E0F-4BEA-521A-EFF5-989B0C66A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554355</xdr:colOff>
      <xdr:row>18</xdr:row>
      <xdr:rowOff>83820</xdr:rowOff>
    </xdr:from>
    <xdr:to>
      <xdr:col>28</xdr:col>
      <xdr:colOff>249555</xdr:colOff>
      <xdr:row>32</xdr:row>
      <xdr:rowOff>144780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51059B-86B1-CDAB-1F8A-0BD343A9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147899</xdr:colOff>
      <xdr:row>119</xdr:row>
      <xdr:rowOff>33929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5BAB1D-705A-282B-4730-540F474B4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3460" y="23942040"/>
          <a:ext cx="5523809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8</xdr:col>
      <xdr:colOff>185919</xdr:colOff>
      <xdr:row>135</xdr:row>
      <xdr:rowOff>3523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7B2D01-4CDB-CB7B-0BB2-698A6AC0C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3460" y="27561540"/>
          <a:ext cx="6171429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7</xdr:col>
      <xdr:colOff>171391</xdr:colOff>
      <xdr:row>97</xdr:row>
      <xdr:rowOff>159809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A5BB08-0FF8-0FF0-67DC-78D163FE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00" y="21088350"/>
          <a:ext cx="5552381" cy="1685714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142</xdr:row>
      <xdr:rowOff>0</xdr:rowOff>
    </xdr:from>
    <xdr:to>
      <xdr:col>16</xdr:col>
      <xdr:colOff>553267</xdr:colOff>
      <xdr:row>168</xdr:row>
      <xdr:rowOff>13607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C97A3-B612-4014-8B40-F3A2A46DE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563161</xdr:colOff>
      <xdr:row>13</xdr:row>
      <xdr:rowOff>45500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B1FF79-EE07-CA6A-241A-78B11934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752381" cy="1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66</xdr:row>
      <xdr:rowOff>68580</xdr:rowOff>
    </xdr:from>
    <xdr:to>
      <xdr:col>14</xdr:col>
      <xdr:colOff>64982</xdr:colOff>
      <xdr:row>88</xdr:row>
      <xdr:rowOff>110562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078B4-780D-4E4A-87E1-3AE30EB7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0435" y="12679680"/>
          <a:ext cx="7467600" cy="4213932"/>
        </a:xfrm>
        <a:prstGeom prst="rect">
          <a:avLst/>
        </a:prstGeom>
      </xdr:spPr>
    </xdr:pic>
    <xdr:clientData/>
  </xdr:twoCellAnchor>
  <xdr:twoCellAnchor>
    <xdr:from>
      <xdr:col>7</xdr:col>
      <xdr:colOff>227118</xdr:colOff>
      <xdr:row>2</xdr:row>
      <xdr:rowOff>22647</xdr:rowOff>
    </xdr:from>
    <xdr:to>
      <xdr:col>15</xdr:col>
      <xdr:colOff>398779</xdr:colOff>
      <xdr:row>19</xdr:row>
      <xdr:rowOff>173989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1DFB5E-37AF-4F76-BA42-BCC08A08A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618068</xdr:colOff>
      <xdr:row>42</xdr:row>
      <xdr:rowOff>110067</xdr:rowOff>
    </xdr:from>
    <xdr:to>
      <xdr:col>19</xdr:col>
      <xdr:colOff>300593</xdr:colOff>
      <xdr:row>54</xdr:row>
      <xdr:rowOff>118033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E710EBA-2023-4FFB-8400-93D06D17A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4601" y="8288867"/>
          <a:ext cx="4880000" cy="23219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16</xdr:col>
      <xdr:colOff>1260375</xdr:colOff>
      <xdr:row>105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696F00-0AA3-4549-9A19-F5DF99E25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17556480"/>
          <a:ext cx="5874285" cy="2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8</xdr:col>
      <xdr:colOff>290917</xdr:colOff>
      <xdr:row>136</xdr:row>
      <xdr:rowOff>185929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5F91EF-D686-D33B-8F13-767A7A23A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0032980"/>
          <a:ext cx="6076190" cy="60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</xdr:colOff>
      <xdr:row>124</xdr:row>
      <xdr:rowOff>57150</xdr:rowOff>
    </xdr:from>
    <xdr:to>
      <xdr:col>15</xdr:col>
      <xdr:colOff>1603505</xdr:colOff>
      <xdr:row>133</xdr:row>
      <xdr:rowOff>37888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2A5FAF-BA62-9B6C-EAA2-08979086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45830" y="23709630"/>
          <a:ext cx="4040000" cy="1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15</xdr:col>
      <xdr:colOff>1329221</xdr:colOff>
      <xdr:row>112</xdr:row>
      <xdr:rowOff>190381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81BEB4-D716-4706-8690-4EF85AE1A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20604480"/>
          <a:ext cx="3752381" cy="952381"/>
        </a:xfrm>
        <a:prstGeom prst="rect">
          <a:avLst/>
        </a:prstGeom>
      </xdr:spPr>
    </xdr:pic>
    <xdr:clientData/>
  </xdr:twoCellAnchor>
  <xdr:twoCellAnchor>
    <xdr:from>
      <xdr:col>15</xdr:col>
      <xdr:colOff>654897</xdr:colOff>
      <xdr:row>1</xdr:row>
      <xdr:rowOff>154307</xdr:rowOff>
    </xdr:from>
    <xdr:to>
      <xdr:col>20</xdr:col>
      <xdr:colOff>116205</xdr:colOff>
      <xdr:row>19</xdr:row>
      <xdr:rowOff>110915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13359A-C0A2-4BCF-8CB9-CB19110DC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222885</xdr:colOff>
      <xdr:row>6</xdr:row>
      <xdr:rowOff>3810</xdr:rowOff>
    </xdr:from>
    <xdr:to>
      <xdr:col>13</xdr:col>
      <xdr:colOff>544830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B4B86-2F5F-483D-8B67-AF3AFE2E3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120015</xdr:colOff>
      <xdr:row>21</xdr:row>
      <xdr:rowOff>129540</xdr:rowOff>
    </xdr:from>
    <xdr:to>
      <xdr:col>31</xdr:col>
      <xdr:colOff>424815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7FAD2-EA9A-4473-AE64-9D6DC0BB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554355</xdr:colOff>
      <xdr:row>18</xdr:row>
      <xdr:rowOff>83820</xdr:rowOff>
    </xdr:from>
    <xdr:to>
      <xdr:col>28</xdr:col>
      <xdr:colOff>249555</xdr:colOff>
      <xdr:row>32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17D7A-E6A2-4FE7-9453-07E6B6569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228600</xdr:colOff>
      <xdr:row>84</xdr:row>
      <xdr:rowOff>87086</xdr:rowOff>
    </xdr:from>
    <xdr:to>
      <xdr:col>7</xdr:col>
      <xdr:colOff>396361</xdr:colOff>
      <xdr:row>93</xdr:row>
      <xdr:rowOff>121696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2B8134-1AB3-192D-34D6-4FF5A6A6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0971" y="16568057"/>
          <a:ext cx="5556190" cy="1798096"/>
        </a:xfrm>
        <a:prstGeom prst="rect">
          <a:avLst/>
        </a:prstGeom>
      </xdr:spPr>
    </xdr:pic>
    <xdr:clientData/>
  </xdr:twoCellAnchor>
  <xdr:twoCellAnchor editAs="oneCell">
    <xdr:from>
      <xdr:col>0</xdr:col>
      <xdr:colOff>957943</xdr:colOff>
      <xdr:row>96</xdr:row>
      <xdr:rowOff>65314</xdr:rowOff>
    </xdr:from>
    <xdr:to>
      <xdr:col>7</xdr:col>
      <xdr:colOff>524763</xdr:colOff>
      <xdr:row>114</xdr:row>
      <xdr:rowOff>100249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DD499A-997A-7569-5D24-A08E3A0D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943" y="18897600"/>
          <a:ext cx="5967620" cy="35619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202047</xdr:colOff>
      <xdr:row>130</xdr:row>
      <xdr:rowOff>139866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55BD93-0D02-BF4E-C80F-72A68CB0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2371" y="23338971"/>
          <a:ext cx="5590476" cy="2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66</xdr:row>
      <xdr:rowOff>68580</xdr:rowOff>
    </xdr:from>
    <xdr:to>
      <xdr:col>15</xdr:col>
      <xdr:colOff>0</xdr:colOff>
      <xdr:row>88</xdr:row>
      <xdr:rowOff>110562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3D2B8-108A-4F14-9617-47B3D0F92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12673965"/>
          <a:ext cx="7486650" cy="423107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3</xdr:row>
      <xdr:rowOff>28575</xdr:rowOff>
    </xdr:from>
    <xdr:to>
      <xdr:col>14</xdr:col>
      <xdr:colOff>226695</xdr:colOff>
      <xdr:row>20</xdr:row>
      <xdr:rowOff>180340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9062D-B702-4AB1-B2B9-46EE472B7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350943</xdr:colOff>
      <xdr:row>2</xdr:row>
      <xdr:rowOff>171237</xdr:rowOff>
    </xdr:from>
    <xdr:to>
      <xdr:col>18</xdr:col>
      <xdr:colOff>431164</xdr:colOff>
      <xdr:row>20</xdr:row>
      <xdr:rowOff>132079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14C743-E28D-4F74-BFF6-FCA510608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618068</xdr:colOff>
      <xdr:row>42</xdr:row>
      <xdr:rowOff>110067</xdr:rowOff>
    </xdr:from>
    <xdr:to>
      <xdr:col>19</xdr:col>
      <xdr:colOff>300593</xdr:colOff>
      <xdr:row>54</xdr:row>
      <xdr:rowOff>110413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CC641E-1A35-4D8B-96F7-D4231BA0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88963" y="8111067"/>
          <a:ext cx="4888890" cy="23015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7</xdr:col>
      <xdr:colOff>264106</xdr:colOff>
      <xdr:row>117</xdr:row>
      <xdr:rowOff>94929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F15001-4C77-31C6-9A2E-63BFE397F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842480"/>
          <a:ext cx="5514286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285750</xdr:colOff>
      <xdr:row>152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5F075F-1168-FB54-3DAD-67F8A70C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98100"/>
          <a:ext cx="6143625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111</xdr:row>
      <xdr:rowOff>182880</xdr:rowOff>
    </xdr:from>
    <xdr:to>
      <xdr:col>15</xdr:col>
      <xdr:colOff>542354</xdr:colOff>
      <xdr:row>117</xdr:row>
      <xdr:rowOff>167500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DEE815E-6F3B-F834-A144-886F6B52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1820" y="21358860"/>
          <a:ext cx="4573334" cy="11276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15</xdr:col>
      <xdr:colOff>1437790</xdr:colOff>
      <xdr:row>134</xdr:row>
      <xdr:rowOff>85476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50625F-F054-AC53-3418-8B0E3A11F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23652480"/>
          <a:ext cx="3876190" cy="19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14</xdr:col>
      <xdr:colOff>494589</xdr:colOff>
      <xdr:row>13</xdr:row>
      <xdr:rowOff>22643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04B32B-3DF3-5F40-DD43-ADEA67FED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685714" cy="17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dagcc-my.sharepoint.com/personal/karla_franco_usda_gov/Documents/project_bayesian_optimization/MPN_RFU_Projectfolder/MPN_RFU_Consortia/Data_forpublication_MPN_Fixed/C2C3C4C5RFP%2048H%20fixed.xlsx" TargetMode="External"/><Relationship Id="rId1" Type="http://schemas.openxmlformats.org/officeDocument/2006/relationships/externalLinkPath" Target="https://usdagcc-my.sharepoint.com/personal/karla_franco_usda_gov/Documents/project_bayesian_optimization/MPN_RFU_Projectfolder/MPN_RFU_Consortia/Data_forpublication_MPN_Fixed/C2C3C4C5RFP%2048H%20fix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fixed_2"/>
      <sheetName val="data_fixed_2_C2C3CONT"/>
      <sheetName val="data_fixed_2_C4C5CONT"/>
      <sheetName val="data_fixed_2BlandAlt"/>
      <sheetName val="Regression_C2C3C4C5Cont (2)"/>
      <sheetName val="Regression_C2C3C4C5Cont"/>
      <sheetName val="BOXPLOT_between_percentinhibiti"/>
      <sheetName val="BOXPLOT_within"/>
      <sheetName val="C2_C3_C4_C5_Control"/>
      <sheetName val="MPN_CFU_C2_C3_Control"/>
      <sheetName val="MPN_CFU_C4_C5_Control"/>
    </sheetNames>
    <sheetDataSet>
      <sheetData sheetId="0" refreshError="1"/>
      <sheetData sheetId="1" refreshError="1"/>
      <sheetData sheetId="2" refreshError="1"/>
      <sheetData sheetId="3">
        <row r="43">
          <cell r="I43">
            <v>7</v>
          </cell>
          <cell r="J43">
            <v>0</v>
          </cell>
        </row>
        <row r="44">
          <cell r="I44">
            <v>10</v>
          </cell>
          <cell r="J4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122B-0246-4EC9-AC17-F7BD5AB40F8E}">
  <dimension ref="A1:P77"/>
  <sheetViews>
    <sheetView topLeftCell="A7" workbookViewId="0">
      <selection activeCell="G14" sqref="G14"/>
    </sheetView>
  </sheetViews>
  <sheetFormatPr defaultRowHeight="15" x14ac:dyDescent="0.25"/>
  <cols>
    <col min="1" max="1" width="26.42578125" customWidth="1"/>
    <col min="2" max="2" width="19.5703125" customWidth="1"/>
    <col min="5" max="5" width="12.7109375" style="31" bestFit="1" customWidth="1"/>
    <col min="6" max="6" width="12.140625" bestFit="1" customWidth="1"/>
    <col min="7" max="7" width="12.42578125" bestFit="1" customWidth="1"/>
    <col min="8" max="8" width="9.5703125" bestFit="1" customWidth="1"/>
    <col min="10" max="10" width="9.5703125" bestFit="1" customWidth="1"/>
    <col min="11" max="11" width="9.5703125" style="31" bestFit="1" customWidth="1"/>
    <col min="12" max="14" width="9.5703125" bestFit="1" customWidth="1"/>
    <col min="15" max="16" width="12" bestFit="1" customWidth="1"/>
  </cols>
  <sheetData>
    <row r="1" spans="1:11" x14ac:dyDescent="0.25">
      <c r="E1"/>
      <c r="K1"/>
    </row>
    <row r="2" spans="1:11" x14ac:dyDescent="0.25">
      <c r="B2" t="s">
        <v>190</v>
      </c>
      <c r="E2"/>
      <c r="K2"/>
    </row>
    <row r="3" spans="1:11" x14ac:dyDescent="0.25">
      <c r="A3" t="s">
        <v>191</v>
      </c>
      <c r="B3" t="s">
        <v>192</v>
      </c>
      <c r="E3"/>
      <c r="K3"/>
    </row>
    <row r="4" spans="1:11" x14ac:dyDescent="0.25">
      <c r="E4"/>
      <c r="K4"/>
    </row>
    <row r="5" spans="1:11" x14ac:dyDescent="0.25">
      <c r="A5" t="s">
        <v>193</v>
      </c>
      <c r="B5" t="s">
        <v>194</v>
      </c>
      <c r="E5"/>
      <c r="K5"/>
    </row>
    <row r="6" spans="1:11" x14ac:dyDescent="0.25">
      <c r="B6" t="s">
        <v>195</v>
      </c>
      <c r="E6"/>
      <c r="K6"/>
    </row>
    <row r="7" spans="1:11" x14ac:dyDescent="0.25">
      <c r="E7"/>
      <c r="K7"/>
    </row>
    <row r="8" spans="1:11" x14ac:dyDescent="0.25">
      <c r="B8" t="s">
        <v>212</v>
      </c>
      <c r="E8"/>
      <c r="K8"/>
    </row>
    <row r="9" spans="1:11" x14ac:dyDescent="0.25">
      <c r="B9" t="s">
        <v>196</v>
      </c>
      <c r="E9"/>
      <c r="K9"/>
    </row>
    <row r="10" spans="1:11" x14ac:dyDescent="0.25">
      <c r="E10"/>
      <c r="K10"/>
    </row>
    <row r="11" spans="1:11" x14ac:dyDescent="0.25">
      <c r="A11" t="s">
        <v>188</v>
      </c>
      <c r="B11" t="s">
        <v>202</v>
      </c>
      <c r="E11"/>
      <c r="K11"/>
    </row>
    <row r="12" spans="1:11" x14ac:dyDescent="0.25">
      <c r="A12" t="s">
        <v>189</v>
      </c>
      <c r="B12" t="s">
        <v>216</v>
      </c>
      <c r="E12"/>
      <c r="K12"/>
    </row>
    <row r="13" spans="1:11" x14ac:dyDescent="0.25">
      <c r="E13"/>
      <c r="K13"/>
    </row>
    <row r="14" spans="1:11" x14ac:dyDescent="0.25">
      <c r="B14" t="s">
        <v>219</v>
      </c>
      <c r="E14"/>
      <c r="K14"/>
    </row>
    <row r="15" spans="1:11" x14ac:dyDescent="0.25">
      <c r="B15" t="s">
        <v>197</v>
      </c>
      <c r="E15"/>
      <c r="K15"/>
    </row>
    <row r="16" spans="1:11" x14ac:dyDescent="0.25">
      <c r="B16" t="s">
        <v>203</v>
      </c>
      <c r="E16"/>
      <c r="K16"/>
    </row>
    <row r="17" spans="2:16" x14ac:dyDescent="0.25">
      <c r="B17" t="s">
        <v>198</v>
      </c>
      <c r="E17"/>
      <c r="K17"/>
    </row>
    <row r="18" spans="2:16" x14ac:dyDescent="0.25">
      <c r="B18" t="s">
        <v>204</v>
      </c>
      <c r="C18" t="s">
        <v>205</v>
      </c>
      <c r="E18"/>
      <c r="K18"/>
    </row>
    <row r="19" spans="2:16" x14ac:dyDescent="0.25">
      <c r="B19" t="s">
        <v>206</v>
      </c>
      <c r="C19" t="s">
        <v>213</v>
      </c>
      <c r="E19"/>
      <c r="K19"/>
    </row>
    <row r="20" spans="2:16" x14ac:dyDescent="0.25">
      <c r="B20" t="s">
        <v>207</v>
      </c>
      <c r="C20" t="s">
        <v>214</v>
      </c>
      <c r="E20"/>
      <c r="K20"/>
    </row>
    <row r="21" spans="2:16" x14ac:dyDescent="0.25">
      <c r="B21" t="s">
        <v>211</v>
      </c>
      <c r="C21" t="s">
        <v>215</v>
      </c>
      <c r="E21"/>
      <c r="K21"/>
    </row>
    <row r="22" spans="2:16" x14ac:dyDescent="0.25">
      <c r="E22"/>
      <c r="K22"/>
    </row>
    <row r="23" spans="2:16" x14ac:dyDescent="0.25">
      <c r="E23"/>
      <c r="K23"/>
    </row>
    <row r="24" spans="2:16" x14ac:dyDescent="0.25">
      <c r="B24" t="s">
        <v>199</v>
      </c>
      <c r="E24"/>
      <c r="K24"/>
    </row>
    <row r="25" spans="2:16" x14ac:dyDescent="0.25">
      <c r="B25" t="s">
        <v>200</v>
      </c>
      <c r="E25"/>
      <c r="K25"/>
    </row>
    <row r="26" spans="2:16" x14ac:dyDescent="0.25">
      <c r="B26" t="s">
        <v>201</v>
      </c>
      <c r="E26"/>
      <c r="K26"/>
    </row>
    <row r="27" spans="2:16" x14ac:dyDescent="0.25">
      <c r="E27"/>
      <c r="K27"/>
    </row>
    <row r="28" spans="2:16" x14ac:dyDescent="0.25">
      <c r="E28"/>
      <c r="K28"/>
    </row>
    <row r="29" spans="2:16" x14ac:dyDescent="0.25">
      <c r="E29"/>
      <c r="K29"/>
    </row>
    <row r="30" spans="2:16" x14ac:dyDescent="0.25">
      <c r="E30"/>
      <c r="K30"/>
    </row>
    <row r="31" spans="2:16" x14ac:dyDescent="0.25">
      <c r="D31" s="83" t="s">
        <v>188</v>
      </c>
      <c r="E31" s="83"/>
      <c r="F31" s="83"/>
      <c r="G31" s="83"/>
      <c r="I31" s="83" t="s">
        <v>189</v>
      </c>
      <c r="J31" s="83"/>
      <c r="K31" s="83"/>
      <c r="L31" s="83"/>
      <c r="M31" s="83"/>
    </row>
    <row r="32" spans="2:16" x14ac:dyDescent="0.25">
      <c r="C32" s="5"/>
      <c r="D32" t="s">
        <v>186</v>
      </c>
      <c r="E32"/>
      <c r="I32" t="s">
        <v>187</v>
      </c>
      <c r="K32"/>
      <c r="O32" t="s">
        <v>2</v>
      </c>
      <c r="P32" s="5" t="s">
        <v>142</v>
      </c>
    </row>
    <row r="33" spans="1:16" x14ac:dyDescent="0.25">
      <c r="A33" t="s">
        <v>139</v>
      </c>
      <c r="B33" t="s">
        <v>140</v>
      </c>
      <c r="C33" t="s">
        <v>107</v>
      </c>
      <c r="D33" t="s">
        <v>107</v>
      </c>
      <c r="E33" s="31" t="s">
        <v>99</v>
      </c>
      <c r="F33" t="s">
        <v>109</v>
      </c>
      <c r="G33" t="s">
        <v>137</v>
      </c>
      <c r="H33">
        <v>1E-4</v>
      </c>
      <c r="I33" t="s">
        <v>107</v>
      </c>
      <c r="J33" t="s">
        <v>108</v>
      </c>
      <c r="K33" s="31" t="s">
        <v>99</v>
      </c>
      <c r="L33" t="s">
        <v>109</v>
      </c>
      <c r="M33" t="s">
        <v>137</v>
      </c>
      <c r="N33">
        <v>1E-4</v>
      </c>
      <c r="O33" t="s">
        <v>141</v>
      </c>
      <c r="P33" t="s">
        <v>141</v>
      </c>
    </row>
    <row r="34" spans="1:16" s="23" customFormat="1" x14ac:dyDescent="0.25">
      <c r="A34" s="23" t="s">
        <v>92</v>
      </c>
      <c r="B34" s="23" t="s">
        <v>84</v>
      </c>
      <c r="C34" s="23" t="s">
        <v>110</v>
      </c>
      <c r="D34" s="23" t="s">
        <v>110</v>
      </c>
      <c r="E34" s="32">
        <v>100544457.303739</v>
      </c>
      <c r="F34" s="24">
        <v>92201120.769177794</v>
      </c>
      <c r="G34" s="23">
        <v>8.0841292002570106E-2</v>
      </c>
      <c r="H34" s="23" t="b">
        <v>0</v>
      </c>
      <c r="I34" s="23" t="s">
        <v>110</v>
      </c>
      <c r="J34" s="23">
        <v>0</v>
      </c>
      <c r="K34" s="32">
        <v>84238632.985065907</v>
      </c>
      <c r="L34" s="24">
        <v>76485890.556440398</v>
      </c>
      <c r="M34" s="24">
        <v>1</v>
      </c>
      <c r="N34" s="23" t="b">
        <v>0</v>
      </c>
      <c r="O34" s="23">
        <f>LOG10(((10*K34)/0.446))</f>
        <v>9.2761764518411223</v>
      </c>
      <c r="P34" s="23">
        <f>LOG10(((10*L34)/0.446))</f>
        <v>9.2342464690083563</v>
      </c>
    </row>
    <row r="35" spans="1:16" s="23" customFormat="1" x14ac:dyDescent="0.25">
      <c r="A35" s="23" t="s">
        <v>93</v>
      </c>
      <c r="B35" s="23" t="s">
        <v>84</v>
      </c>
      <c r="C35" s="23" t="s">
        <v>111</v>
      </c>
      <c r="D35" s="23" t="s">
        <v>111</v>
      </c>
      <c r="E35" s="32">
        <v>112438260.390861</v>
      </c>
      <c r="F35" s="24">
        <v>102975267.99692699</v>
      </c>
      <c r="G35" s="23">
        <v>1</v>
      </c>
      <c r="H35" s="23" t="b">
        <v>0</v>
      </c>
      <c r="I35" s="23" t="s">
        <v>111</v>
      </c>
      <c r="J35" s="23">
        <v>1</v>
      </c>
      <c r="K35" s="32">
        <v>114533910.282534</v>
      </c>
      <c r="L35" s="24">
        <v>104505132.799375</v>
      </c>
      <c r="M35" s="24">
        <v>1</v>
      </c>
      <c r="N35" s="23" t="b">
        <v>0</v>
      </c>
      <c r="O35" s="23">
        <f>LOG10(((10*K35)/0.446))</f>
        <v>9.4095992294330735</v>
      </c>
      <c r="P35" s="23">
        <f t="shared" ref="P35:P57" si="0">LOG10(((10*L35)/0.446))</f>
        <v>9.3698027627560005</v>
      </c>
    </row>
    <row r="36" spans="1:16" s="23" customFormat="1" x14ac:dyDescent="0.25">
      <c r="A36" s="23" t="s">
        <v>94</v>
      </c>
      <c r="B36" s="23" t="s">
        <v>84</v>
      </c>
      <c r="C36" s="23" t="s">
        <v>112</v>
      </c>
      <c r="D36" s="23" t="s">
        <v>112</v>
      </c>
      <c r="E36" s="32">
        <v>33882991.924978301</v>
      </c>
      <c r="F36" s="24">
        <v>27978765.876997702</v>
      </c>
      <c r="G36" s="23">
        <v>7.49945254642655E-3</v>
      </c>
      <c r="H36" s="23" t="b">
        <v>0</v>
      </c>
      <c r="I36" s="23" t="s">
        <v>112</v>
      </c>
      <c r="J36" s="23">
        <v>2</v>
      </c>
      <c r="K36" s="32">
        <v>33894655.860177197</v>
      </c>
      <c r="L36" s="24">
        <v>27981687.390096899</v>
      </c>
      <c r="M36" s="24">
        <v>7.4986932988830501E-3</v>
      </c>
      <c r="N36" s="23" t="b">
        <v>0</v>
      </c>
      <c r="O36" s="23">
        <f t="shared" ref="O36:O57" si="1">LOG10(((10*K36)/0.446))</f>
        <v>8.8807963700692447</v>
      </c>
      <c r="P36" s="23">
        <f t="shared" si="0"/>
        <v>8.7975390416549448</v>
      </c>
    </row>
    <row r="37" spans="1:16" s="14" customFormat="1" x14ac:dyDescent="0.25">
      <c r="A37" s="14" t="s">
        <v>78</v>
      </c>
      <c r="B37" s="14" t="s">
        <v>3</v>
      </c>
      <c r="C37" s="14" t="s">
        <v>113</v>
      </c>
      <c r="D37" s="14" t="s">
        <v>113</v>
      </c>
      <c r="E37" s="33">
        <v>7636578.7550275596</v>
      </c>
      <c r="F37" s="26">
        <v>6877494.4352841796</v>
      </c>
      <c r="G37" s="14">
        <v>0.63485853940647297</v>
      </c>
      <c r="H37" s="14" t="b">
        <v>0</v>
      </c>
      <c r="I37" s="14" t="s">
        <v>113</v>
      </c>
      <c r="J37" s="14">
        <v>3</v>
      </c>
      <c r="K37" s="33">
        <v>7646785.1303925002</v>
      </c>
      <c r="L37" s="26">
        <v>6885935.3892480303</v>
      </c>
      <c r="M37" s="26">
        <v>0.63573989045746904</v>
      </c>
      <c r="N37" s="14" t="b">
        <v>0</v>
      </c>
      <c r="O37" s="14">
        <f t="shared" si="1"/>
        <v>8.2341440282603742</v>
      </c>
      <c r="P37" s="14">
        <f t="shared" si="0"/>
        <v>8.1886280846892312</v>
      </c>
    </row>
    <row r="38" spans="1:16" s="14" customFormat="1" ht="15.75" thickBot="1" x14ac:dyDescent="0.3">
      <c r="A38" s="14" t="s">
        <v>79</v>
      </c>
      <c r="B38" s="14" t="s">
        <v>3</v>
      </c>
      <c r="C38" s="14" t="s">
        <v>114</v>
      </c>
      <c r="D38" s="14" t="s">
        <v>114</v>
      </c>
      <c r="E38" s="41">
        <v>751588.37205234799</v>
      </c>
      <c r="F38" s="26">
        <v>675284.79980842595</v>
      </c>
      <c r="G38" s="14">
        <v>9.3522613184193498E-20</v>
      </c>
      <c r="H38" s="14" t="b">
        <v>1</v>
      </c>
      <c r="I38" s="14" t="s">
        <v>114</v>
      </c>
      <c r="J38" s="14">
        <v>4</v>
      </c>
      <c r="K38" s="41">
        <v>34774932.280468501</v>
      </c>
      <c r="L38" s="26">
        <v>28621869.725770801</v>
      </c>
      <c r="M38" s="26">
        <v>0.194489521154351</v>
      </c>
      <c r="N38" s="14" t="b">
        <v>0</v>
      </c>
      <c r="O38" s="14">
        <f t="shared" si="1"/>
        <v>8.8919314342223235</v>
      </c>
      <c r="P38" s="14">
        <f t="shared" si="0"/>
        <v>8.8073631419576675</v>
      </c>
    </row>
    <row r="39" spans="1:16" s="37" customFormat="1" ht="15.75" thickBot="1" x14ac:dyDescent="0.3">
      <c r="A39" s="37" t="s">
        <v>80</v>
      </c>
      <c r="B39" s="37" t="s">
        <v>3</v>
      </c>
      <c r="C39" s="37" t="s">
        <v>115</v>
      </c>
      <c r="D39" s="37" t="s">
        <v>115</v>
      </c>
      <c r="E39" s="38">
        <v>10324.9767826595</v>
      </c>
      <c r="F39" s="39">
        <v>9468.4443905907701</v>
      </c>
      <c r="G39" s="37">
        <v>3.00623656993948E-31</v>
      </c>
      <c r="H39" s="37" t="b">
        <v>1</v>
      </c>
      <c r="I39" s="37" t="s">
        <v>115</v>
      </c>
      <c r="J39" s="37">
        <v>5</v>
      </c>
      <c r="K39" s="38">
        <v>10324.9824047725</v>
      </c>
      <c r="L39" s="39">
        <v>9468.4467562667705</v>
      </c>
      <c r="M39" s="39">
        <v>3.0062384643828999E-31</v>
      </c>
      <c r="N39" s="73" t="b">
        <v>1</v>
      </c>
      <c r="O39" s="37">
        <f t="shared" si="1"/>
        <v>5.3645544615178249</v>
      </c>
      <c r="P39" s="37">
        <f t="shared" si="0"/>
        <v>5.3269438826450264</v>
      </c>
    </row>
    <row r="40" spans="1:16" s="27" customFormat="1" x14ac:dyDescent="0.25">
      <c r="A40" s="27" t="s">
        <v>84</v>
      </c>
      <c r="B40" s="27" t="s">
        <v>4</v>
      </c>
      <c r="C40" s="27" t="s">
        <v>116</v>
      </c>
      <c r="D40" s="27" t="s">
        <v>116</v>
      </c>
      <c r="E40" s="34">
        <v>10135970.4698391</v>
      </c>
      <c r="F40" s="28">
        <v>9295320.5440052301</v>
      </c>
      <c r="G40" s="27">
        <v>0.85339716997548898</v>
      </c>
      <c r="H40" s="27" t="b">
        <v>0</v>
      </c>
      <c r="I40" s="27" t="s">
        <v>116</v>
      </c>
      <c r="J40" s="27">
        <v>6</v>
      </c>
      <c r="K40" s="34">
        <v>10152071.799023001</v>
      </c>
      <c r="L40" s="28">
        <v>9307403.7806500606</v>
      </c>
      <c r="M40" s="28">
        <v>0.85482279936735195</v>
      </c>
      <c r="N40" s="27" t="b">
        <v>0</v>
      </c>
      <c r="O40" s="27">
        <f t="shared" si="1"/>
        <v>8.3572198218687177</v>
      </c>
      <c r="P40" s="27">
        <f t="shared" si="0"/>
        <v>8.3194936964926871</v>
      </c>
    </row>
    <row r="41" spans="1:16" s="27" customFormat="1" x14ac:dyDescent="0.25">
      <c r="A41" s="27" t="s">
        <v>3</v>
      </c>
      <c r="B41" s="27" t="s">
        <v>4</v>
      </c>
      <c r="C41" s="27" t="s">
        <v>117</v>
      </c>
      <c r="D41" s="27" t="s">
        <v>117</v>
      </c>
      <c r="E41" s="34">
        <v>25840662.955640402</v>
      </c>
      <c r="F41" s="28">
        <v>22135747.805703901</v>
      </c>
      <c r="G41" s="27">
        <v>0.38510147695289998</v>
      </c>
      <c r="H41" s="27" t="b">
        <v>0</v>
      </c>
      <c r="I41" s="27" t="s">
        <v>117</v>
      </c>
      <c r="J41" s="27">
        <v>7</v>
      </c>
      <c r="K41" s="34">
        <v>25923650.420078099</v>
      </c>
      <c r="L41" s="28">
        <v>22170661.487156902</v>
      </c>
      <c r="M41" s="28">
        <v>0.38305283848476002</v>
      </c>
      <c r="N41" s="27" t="b">
        <v>0</v>
      </c>
      <c r="O41" s="27">
        <f t="shared" si="1"/>
        <v>8.7643612976558138</v>
      </c>
      <c r="P41" s="27">
        <f t="shared" si="0"/>
        <v>8.6964437922704736</v>
      </c>
    </row>
    <row r="42" spans="1:16" s="27" customFormat="1" x14ac:dyDescent="0.25">
      <c r="A42" s="27" t="s">
        <v>4</v>
      </c>
      <c r="B42" s="27" t="s">
        <v>4</v>
      </c>
      <c r="C42" s="27" t="s">
        <v>118</v>
      </c>
      <c r="D42" s="27" t="s">
        <v>118</v>
      </c>
      <c r="E42" s="42">
        <v>3932331.10303271</v>
      </c>
      <c r="F42" s="28">
        <v>3203424.0562360198</v>
      </c>
      <c r="G42" s="27">
        <v>4.1792311120650797E-3</v>
      </c>
      <c r="H42" s="27" t="b">
        <v>0</v>
      </c>
      <c r="I42" s="27" t="s">
        <v>118</v>
      </c>
      <c r="J42" s="27">
        <v>8</v>
      </c>
      <c r="K42" s="42">
        <v>3934000.5227664099</v>
      </c>
      <c r="L42" s="28">
        <v>3203776.2740231198</v>
      </c>
      <c r="M42" s="28">
        <v>4.1800239280243498E-3</v>
      </c>
      <c r="N42" s="27" t="b">
        <v>0</v>
      </c>
      <c r="O42" s="27">
        <f t="shared" si="1"/>
        <v>7.9454995545820433</v>
      </c>
      <c r="P42" s="27">
        <f t="shared" si="0"/>
        <v>7.8563273221240033</v>
      </c>
    </row>
    <row r="43" spans="1:16" s="29" customFormat="1" x14ac:dyDescent="0.25">
      <c r="A43" s="29" t="s">
        <v>86</v>
      </c>
      <c r="B43" s="29" t="s">
        <v>5</v>
      </c>
      <c r="C43" s="29" t="s">
        <v>119</v>
      </c>
      <c r="D43" s="29" t="s">
        <v>119</v>
      </c>
      <c r="E43" s="35">
        <v>58829485.4111287</v>
      </c>
      <c r="F43" s="30">
        <v>50169561.504577003</v>
      </c>
      <c r="G43" s="29">
        <v>2.77611902554802E-6</v>
      </c>
      <c r="H43" s="29" t="b">
        <v>1</v>
      </c>
      <c r="I43" s="29" t="s">
        <v>119</v>
      </c>
      <c r="J43" s="29">
        <v>9</v>
      </c>
      <c r="K43" s="35">
        <v>52779480.738728397</v>
      </c>
      <c r="L43" s="30">
        <v>43913837.739165403</v>
      </c>
      <c r="M43" s="30">
        <v>5.66917010306859E-4</v>
      </c>
      <c r="N43" s="29" t="b">
        <v>0</v>
      </c>
      <c r="O43" s="29">
        <f t="shared" si="1"/>
        <v>9.073130254466049</v>
      </c>
      <c r="P43" s="29">
        <f t="shared" si="0"/>
        <v>8.9932665341224087</v>
      </c>
    </row>
    <row r="44" spans="1:16" s="29" customFormat="1" x14ac:dyDescent="0.25">
      <c r="A44" s="29" t="s">
        <v>87</v>
      </c>
      <c r="B44" s="29" t="s">
        <v>5</v>
      </c>
      <c r="C44" s="29" t="s">
        <v>120</v>
      </c>
      <c r="D44" s="29" t="s">
        <v>120</v>
      </c>
      <c r="E44" s="35">
        <v>112438260.390861</v>
      </c>
      <c r="F44" s="30">
        <v>102975267.99692699</v>
      </c>
      <c r="G44" s="29">
        <v>1</v>
      </c>
      <c r="H44" s="29" t="b">
        <v>0</v>
      </c>
      <c r="I44" s="29" t="s">
        <v>120</v>
      </c>
      <c r="J44" s="29">
        <v>10</v>
      </c>
      <c r="K44" s="35">
        <v>114533910.282534</v>
      </c>
      <c r="L44" s="30">
        <v>104505132.799375</v>
      </c>
      <c r="M44" s="30">
        <v>1</v>
      </c>
      <c r="N44" s="29" t="b">
        <v>0</v>
      </c>
      <c r="O44" s="29">
        <f t="shared" si="1"/>
        <v>9.4095992294330735</v>
      </c>
      <c r="P44" s="29">
        <f t="shared" si="0"/>
        <v>9.3698027627560005</v>
      </c>
    </row>
    <row r="45" spans="1:16" s="29" customFormat="1" x14ac:dyDescent="0.25">
      <c r="A45" s="29" t="s">
        <v>88</v>
      </c>
      <c r="B45" s="29" t="s">
        <v>5</v>
      </c>
      <c r="C45" s="29" t="s">
        <v>121</v>
      </c>
      <c r="D45" s="29" t="s">
        <v>121</v>
      </c>
      <c r="E45" s="40">
        <v>62975407.8412183</v>
      </c>
      <c r="F45" s="30">
        <v>54595042.047420502</v>
      </c>
      <c r="G45" s="29">
        <v>6.4879259098301394E-5</v>
      </c>
      <c r="H45" s="29" t="b">
        <v>1</v>
      </c>
      <c r="I45" s="29" t="s">
        <v>121</v>
      </c>
      <c r="J45" s="29">
        <v>11</v>
      </c>
      <c r="K45" s="40">
        <v>287266234.48765802</v>
      </c>
      <c r="L45" s="30">
        <v>242164629.815649</v>
      </c>
      <c r="M45" s="30">
        <v>0.85857066536401105</v>
      </c>
      <c r="N45" s="29" t="b">
        <v>0</v>
      </c>
      <c r="O45" s="29">
        <f t="shared" si="1"/>
        <v>9.8089497229447034</v>
      </c>
      <c r="P45" s="29">
        <f t="shared" si="0"/>
        <v>9.73477585235897</v>
      </c>
    </row>
    <row r="46" spans="1:16" s="23" customFormat="1" x14ac:dyDescent="0.25">
      <c r="A46" s="23" t="s">
        <v>95</v>
      </c>
      <c r="B46" s="23" t="s">
        <v>84</v>
      </c>
      <c r="C46" s="23" t="s">
        <v>122</v>
      </c>
      <c r="D46" s="23" t="s">
        <v>122</v>
      </c>
      <c r="E46" s="32">
        <v>61423452.674223602</v>
      </c>
      <c r="F46" s="24">
        <v>52931599.878094301</v>
      </c>
      <c r="G46" s="23">
        <v>1</v>
      </c>
      <c r="H46" s="23" t="b">
        <v>0</v>
      </c>
      <c r="I46" s="23" t="s">
        <v>122</v>
      </c>
      <c r="J46" s="23">
        <v>12</v>
      </c>
      <c r="K46" s="32">
        <v>62168440.998784401</v>
      </c>
      <c r="L46" s="24">
        <v>53532326.080304302</v>
      </c>
      <c r="M46" s="24">
        <v>1</v>
      </c>
      <c r="N46" s="23" t="b">
        <v>0</v>
      </c>
      <c r="O46" s="23">
        <f t="shared" si="1"/>
        <v>9.1442351179673445</v>
      </c>
      <c r="P46" s="23">
        <f t="shared" si="0"/>
        <v>9.0792812559937754</v>
      </c>
    </row>
    <row r="47" spans="1:16" s="23" customFormat="1" x14ac:dyDescent="0.25">
      <c r="A47" s="23" t="s">
        <v>96</v>
      </c>
      <c r="B47" s="23" t="s">
        <v>84</v>
      </c>
      <c r="C47" s="23" t="s">
        <v>123</v>
      </c>
      <c r="D47" s="23" t="s">
        <v>123</v>
      </c>
      <c r="E47" s="32">
        <v>18550664.042904198</v>
      </c>
      <c r="F47" s="24">
        <v>16492165.626070101</v>
      </c>
      <c r="G47" s="23">
        <v>1</v>
      </c>
      <c r="H47" s="23" t="b">
        <v>0</v>
      </c>
      <c r="I47" s="23" t="s">
        <v>123</v>
      </c>
      <c r="J47" s="23">
        <v>13</v>
      </c>
      <c r="K47" s="32">
        <v>18598939.370811101</v>
      </c>
      <c r="L47" s="24">
        <v>16520978.326128401</v>
      </c>
      <c r="M47" s="24">
        <v>1</v>
      </c>
      <c r="N47" s="23" t="b">
        <v>0</v>
      </c>
      <c r="O47" s="23">
        <f t="shared" si="1"/>
        <v>8.6201533199929941</v>
      </c>
      <c r="P47" s="23">
        <f t="shared" si="0"/>
        <v>8.568700902738243</v>
      </c>
    </row>
    <row r="48" spans="1:16" s="23" customFormat="1" ht="15.75" thickBot="1" x14ac:dyDescent="0.3">
      <c r="A48" s="23" t="s">
        <v>96</v>
      </c>
      <c r="B48" s="23" t="s">
        <v>84</v>
      </c>
      <c r="C48" s="23" t="s">
        <v>124</v>
      </c>
      <c r="D48" s="23" t="s">
        <v>124</v>
      </c>
      <c r="E48" s="32">
        <v>57621062.143241003</v>
      </c>
      <c r="F48" s="24">
        <v>48895700.9243031</v>
      </c>
      <c r="G48" s="23">
        <v>0.47450804524585899</v>
      </c>
      <c r="H48" s="23" t="b">
        <v>0</v>
      </c>
      <c r="I48" s="23" t="s">
        <v>124</v>
      </c>
      <c r="J48" s="23">
        <v>14</v>
      </c>
      <c r="K48" s="32">
        <v>57676953.637998097</v>
      </c>
      <c r="L48" s="24">
        <v>48937403.7121967</v>
      </c>
      <c r="M48" s="24">
        <v>0.47498171140466999</v>
      </c>
      <c r="N48" s="23" t="b">
        <v>0</v>
      </c>
      <c r="O48" s="23">
        <f t="shared" si="1"/>
        <v>9.1116674551846319</v>
      </c>
      <c r="P48" s="23">
        <f t="shared" si="0"/>
        <v>9.0403060661856056</v>
      </c>
    </row>
    <row r="49" spans="1:16" s="14" customFormat="1" ht="15.75" thickBot="1" x14ac:dyDescent="0.3">
      <c r="A49" s="14" t="s">
        <v>81</v>
      </c>
      <c r="B49" s="14" t="s">
        <v>3</v>
      </c>
      <c r="C49" s="14" t="s">
        <v>125</v>
      </c>
      <c r="D49" s="14" t="s">
        <v>125</v>
      </c>
      <c r="E49" s="41">
        <v>745225.41796742601</v>
      </c>
      <c r="F49" s="26">
        <v>668680.60676589399</v>
      </c>
      <c r="G49" s="14">
        <v>1.11712537427045E-6</v>
      </c>
      <c r="H49" s="14" t="b">
        <v>1</v>
      </c>
      <c r="I49" s="14" t="s">
        <v>125</v>
      </c>
      <c r="J49" s="14">
        <v>15</v>
      </c>
      <c r="K49" s="41">
        <v>745270.21938878205</v>
      </c>
      <c r="L49" s="26">
        <v>668706.74029658502</v>
      </c>
      <c r="M49" s="26">
        <v>1.1171868621351601E-6</v>
      </c>
      <c r="N49" s="74" t="b">
        <v>1</v>
      </c>
      <c r="O49" s="14">
        <f t="shared" si="1"/>
        <v>7.2229789086827063</v>
      </c>
      <c r="P49" s="14">
        <f t="shared" si="0"/>
        <v>7.1759008420245616</v>
      </c>
    </row>
    <row r="50" spans="1:16" s="14" customFormat="1" x14ac:dyDescent="0.25">
      <c r="A50" s="14" t="s">
        <v>82</v>
      </c>
      <c r="B50" s="14" t="s">
        <v>3</v>
      </c>
      <c r="C50" s="14" t="s">
        <v>126</v>
      </c>
      <c r="D50" s="14" t="s">
        <v>126</v>
      </c>
      <c r="E50" s="33">
        <v>7636578.7550275596</v>
      </c>
      <c r="F50" s="26">
        <v>6877494.4352841796</v>
      </c>
      <c r="G50" s="14">
        <v>0.63485853940647297</v>
      </c>
      <c r="H50" s="14" t="b">
        <v>0</v>
      </c>
      <c r="I50" s="14" t="s">
        <v>126</v>
      </c>
      <c r="J50" s="14">
        <v>16</v>
      </c>
      <c r="K50" s="33">
        <v>7646785.1303925002</v>
      </c>
      <c r="L50" s="26">
        <v>6885935.3892480303</v>
      </c>
      <c r="M50" s="26">
        <v>0.63573989045746904</v>
      </c>
      <c r="N50" s="14" t="b">
        <v>0</v>
      </c>
      <c r="O50" s="14">
        <f t="shared" si="1"/>
        <v>8.2341440282603742</v>
      </c>
      <c r="P50" s="14">
        <f t="shared" si="0"/>
        <v>8.1886280846892312</v>
      </c>
    </row>
    <row r="51" spans="1:16" s="14" customFormat="1" x14ac:dyDescent="0.25">
      <c r="A51" s="14" t="s">
        <v>83</v>
      </c>
      <c r="B51" s="14" t="s">
        <v>3</v>
      </c>
      <c r="C51" s="14" t="s">
        <v>127</v>
      </c>
      <c r="D51" s="14" t="s">
        <v>127</v>
      </c>
      <c r="E51" s="33">
        <v>2858638.3155997498</v>
      </c>
      <c r="F51" s="26">
        <v>2415156.50596837</v>
      </c>
      <c r="G51" s="14">
        <v>0.86341675025784803</v>
      </c>
      <c r="H51" s="14" t="b">
        <v>0</v>
      </c>
      <c r="I51" s="14" t="s">
        <v>127</v>
      </c>
      <c r="J51" s="14">
        <v>17</v>
      </c>
      <c r="K51" s="33">
        <v>2872662.3448765702</v>
      </c>
      <c r="L51" s="26">
        <v>2421646.2981564798</v>
      </c>
      <c r="M51" s="26">
        <v>0.85857066536401405</v>
      </c>
      <c r="N51" s="14" t="b">
        <v>0</v>
      </c>
      <c r="O51" s="14">
        <f t="shared" si="1"/>
        <v>7.8089497229447025</v>
      </c>
      <c r="P51" s="14">
        <f t="shared" si="0"/>
        <v>7.7347758523589683</v>
      </c>
    </row>
    <row r="52" spans="1:16" s="27" customFormat="1" x14ac:dyDescent="0.25">
      <c r="A52" s="27" t="s">
        <v>6</v>
      </c>
      <c r="B52" s="27" t="s">
        <v>4</v>
      </c>
      <c r="C52" s="27" t="s">
        <v>128</v>
      </c>
      <c r="D52" s="27" t="s">
        <v>128</v>
      </c>
      <c r="E52" s="34">
        <v>12079706.8438682</v>
      </c>
      <c r="F52" s="28">
        <v>11038452.349653199</v>
      </c>
      <c r="G52" s="27">
        <v>0.38299593934933301</v>
      </c>
      <c r="H52" s="27" t="b">
        <v>0</v>
      </c>
      <c r="I52" s="27" t="s">
        <v>128</v>
      </c>
      <c r="J52" s="27">
        <v>18</v>
      </c>
      <c r="K52" s="34">
        <v>12099687.8786064</v>
      </c>
      <c r="L52" s="28">
        <v>11052313.366183599</v>
      </c>
      <c r="M52" s="28">
        <v>0.38257728615214098</v>
      </c>
      <c r="N52" s="27" t="b">
        <v>0</v>
      </c>
      <c r="O52" s="27">
        <f t="shared" si="1"/>
        <v>8.433439308765692</v>
      </c>
      <c r="P52" s="27">
        <f t="shared" si="0"/>
        <v>8.3941183312560934</v>
      </c>
    </row>
    <row r="53" spans="1:16" s="27" customFormat="1" x14ac:dyDescent="0.25">
      <c r="A53" s="27" t="s">
        <v>7</v>
      </c>
      <c r="B53" s="27" t="s">
        <v>4</v>
      </c>
      <c r="C53" s="27" t="s">
        <v>129</v>
      </c>
      <c r="D53" s="27" t="s">
        <v>129</v>
      </c>
      <c r="E53" s="34">
        <v>4627278.8354766099</v>
      </c>
      <c r="F53" s="28">
        <v>3778463.24948494</v>
      </c>
      <c r="G53" s="27">
        <v>1</v>
      </c>
      <c r="H53" s="27" t="b">
        <v>0</v>
      </c>
      <c r="I53" s="27" t="s">
        <v>129</v>
      </c>
      <c r="J53" s="27">
        <v>19</v>
      </c>
      <c r="K53" s="34">
        <v>4668669.95852492</v>
      </c>
      <c r="L53" s="28">
        <v>3801053.7224820899</v>
      </c>
      <c r="M53" s="28">
        <v>1</v>
      </c>
      <c r="N53" s="27" t="b">
        <v>0</v>
      </c>
      <c r="O53" s="27">
        <f t="shared" si="1"/>
        <v>8.0198583147993681</v>
      </c>
      <c r="P53" s="27">
        <f t="shared" si="0"/>
        <v>7.9305691490684538</v>
      </c>
    </row>
    <row r="54" spans="1:16" s="27" customFormat="1" x14ac:dyDescent="0.25">
      <c r="A54" s="27" t="s">
        <v>85</v>
      </c>
      <c r="B54" s="27" t="s">
        <v>4</v>
      </c>
      <c r="C54" s="27" t="s">
        <v>130</v>
      </c>
      <c r="D54" s="27" t="s">
        <v>130</v>
      </c>
      <c r="E54" s="34">
        <v>13508776.127056301</v>
      </c>
      <c r="F54" s="28">
        <v>12281901.6319694</v>
      </c>
      <c r="G54" s="27">
        <v>1</v>
      </c>
      <c r="H54" s="27" t="b">
        <v>0</v>
      </c>
      <c r="I54" s="27" t="s">
        <v>130</v>
      </c>
      <c r="J54" s="27">
        <v>20</v>
      </c>
      <c r="K54" s="34">
        <v>13534878.6358993</v>
      </c>
      <c r="L54" s="28">
        <v>12299676.5788833</v>
      </c>
      <c r="M54" s="28">
        <v>1</v>
      </c>
      <c r="N54" s="27" t="b">
        <v>0</v>
      </c>
      <c r="O54" s="27">
        <f t="shared" si="1"/>
        <v>8.4821195071944917</v>
      </c>
      <c r="P54" s="27">
        <f t="shared" si="0"/>
        <v>8.4405588330644097</v>
      </c>
    </row>
    <row r="55" spans="1:16" s="29" customFormat="1" x14ac:dyDescent="0.25">
      <c r="A55" s="29" t="s">
        <v>89</v>
      </c>
      <c r="B55" s="29" t="s">
        <v>5</v>
      </c>
      <c r="C55" s="29" t="s">
        <v>131</v>
      </c>
      <c r="D55" s="29" t="s">
        <v>131</v>
      </c>
      <c r="E55" s="35">
        <v>135111444.96570599</v>
      </c>
      <c r="F55" s="30">
        <v>122835162.313867</v>
      </c>
      <c r="G55" s="29">
        <v>1</v>
      </c>
      <c r="H55" s="29" t="b">
        <v>0</v>
      </c>
      <c r="I55" s="29" t="s">
        <v>131</v>
      </c>
      <c r="J55" s="29">
        <v>21</v>
      </c>
      <c r="K55" s="35">
        <v>135348786.35899299</v>
      </c>
      <c r="L55" s="30">
        <v>122996765.78883401</v>
      </c>
      <c r="M55" s="30">
        <v>1</v>
      </c>
      <c r="N55" s="29" t="b">
        <v>0</v>
      </c>
      <c r="O55" s="29">
        <f t="shared" si="1"/>
        <v>9.4821195071944917</v>
      </c>
      <c r="P55" s="29">
        <f>LOG10(((10*L55)/0.446))</f>
        <v>9.4405588330644132</v>
      </c>
    </row>
    <row r="56" spans="1:16" s="29" customFormat="1" x14ac:dyDescent="0.25">
      <c r="A56" s="29" t="s">
        <v>90</v>
      </c>
      <c r="B56" s="29" t="s">
        <v>5</v>
      </c>
      <c r="C56" s="29" t="s">
        <v>132</v>
      </c>
      <c r="D56" s="29" t="s">
        <v>132</v>
      </c>
      <c r="E56" s="35">
        <v>119782238.497805</v>
      </c>
      <c r="F56" s="30">
        <v>109487918.617989</v>
      </c>
      <c r="G56" s="29">
        <v>8.3360469617973998E-2</v>
      </c>
      <c r="H56" s="29" t="b">
        <v>0</v>
      </c>
      <c r="I56" s="29" t="s">
        <v>132</v>
      </c>
      <c r="J56" s="29">
        <v>22</v>
      </c>
      <c r="K56" s="40">
        <v>119782237.666235</v>
      </c>
      <c r="L56" s="30">
        <v>109487917.885423</v>
      </c>
      <c r="M56" s="30">
        <v>8.3360470028695802E-2</v>
      </c>
      <c r="N56" s="29" t="b">
        <v>0</v>
      </c>
      <c r="O56" s="29">
        <f t="shared" si="1"/>
        <v>9.4290575632187235</v>
      </c>
      <c r="P56" s="29">
        <f t="shared" si="0"/>
        <v>9.3900313382247553</v>
      </c>
    </row>
    <row r="57" spans="1:16" s="29" customFormat="1" x14ac:dyDescent="0.25">
      <c r="A57" s="29" t="s">
        <v>91</v>
      </c>
      <c r="B57" s="29" t="s">
        <v>5</v>
      </c>
      <c r="C57" s="29" t="s">
        <v>133</v>
      </c>
      <c r="D57" s="29" t="s">
        <v>133</v>
      </c>
      <c r="E57" s="35">
        <v>101374316.914203</v>
      </c>
      <c r="F57" s="30">
        <v>92964178.607006401</v>
      </c>
      <c r="G57" s="29">
        <v>0.85352653867078898</v>
      </c>
      <c r="H57" s="29" t="b">
        <v>0</v>
      </c>
      <c r="I57" s="29" t="s">
        <v>133</v>
      </c>
      <c r="J57" s="29">
        <v>23</v>
      </c>
      <c r="K57" s="40">
        <v>101520717.990228</v>
      </c>
      <c r="L57" s="30">
        <v>93074037.806498393</v>
      </c>
      <c r="M57" s="30">
        <v>0.85482279936732897</v>
      </c>
      <c r="N57" s="29" t="b">
        <v>0</v>
      </c>
      <c r="O57" s="29">
        <f t="shared" si="1"/>
        <v>9.3572198218687088</v>
      </c>
      <c r="P57" s="29">
        <f t="shared" si="0"/>
        <v>9.3194936964926764</v>
      </c>
    </row>
    <row r="58" spans="1:16" s="29" customFormat="1" x14ac:dyDescent="0.25">
      <c r="E58" s="36"/>
      <c r="K58" s="36"/>
    </row>
    <row r="62" spans="1:16" x14ac:dyDescent="0.25">
      <c r="B62" t="s">
        <v>136</v>
      </c>
    </row>
    <row r="63" spans="1:16" x14ac:dyDescent="0.25">
      <c r="C63" t="s">
        <v>99</v>
      </c>
    </row>
    <row r="64" spans="1:16" x14ac:dyDescent="0.25">
      <c r="B64">
        <v>0</v>
      </c>
      <c r="C64">
        <v>30792090.8987936</v>
      </c>
    </row>
    <row r="65" spans="2:3" x14ac:dyDescent="0.25">
      <c r="C65">
        <v>69040562.553348884</v>
      </c>
    </row>
    <row r="66" spans="2:3" x14ac:dyDescent="0.25">
      <c r="C66">
        <v>690405625.53348887</v>
      </c>
    </row>
    <row r="67" spans="2:3" x14ac:dyDescent="0.25">
      <c r="C67">
        <v>8.8391043214212299</v>
      </c>
    </row>
    <row r="71" spans="2:3" x14ac:dyDescent="0.25">
      <c r="B71" t="s">
        <v>138</v>
      </c>
    </row>
    <row r="73" spans="2:3" x14ac:dyDescent="0.25">
      <c r="C73" t="s">
        <v>99</v>
      </c>
    </row>
    <row r="74" spans="2:3" x14ac:dyDescent="0.25">
      <c r="B74">
        <v>0</v>
      </c>
      <c r="C74">
        <v>2186252.35317459</v>
      </c>
    </row>
    <row r="75" spans="2:3" x14ac:dyDescent="0.25">
      <c r="C75">
        <v>4901911.1057726229</v>
      </c>
    </row>
    <row r="76" spans="2:3" x14ac:dyDescent="0.25">
      <c r="C76">
        <v>49019111.057726227</v>
      </c>
    </row>
    <row r="77" spans="2:3" x14ac:dyDescent="0.25">
      <c r="C77">
        <v>7.6903654312280798</v>
      </c>
    </row>
  </sheetData>
  <mergeCells count="2">
    <mergeCell ref="D31:G31"/>
    <mergeCell ref="I31:M3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A937-27AB-4981-8522-DDC2D121F877}">
  <dimension ref="A2:GN57"/>
  <sheetViews>
    <sheetView topLeftCell="A7" workbookViewId="0">
      <selection activeCell="G15" sqref="G15"/>
    </sheetView>
  </sheetViews>
  <sheetFormatPr defaultRowHeight="15" x14ac:dyDescent="0.25"/>
  <cols>
    <col min="2" max="2" width="25.85546875" customWidth="1"/>
    <col min="3" max="3" width="9.42578125" bestFit="1" customWidth="1"/>
    <col min="5" max="6" width="12" bestFit="1" customWidth="1"/>
    <col min="7" max="8" width="9.42578125" bestFit="1" customWidth="1"/>
    <col min="9" max="10" width="9.42578125" customWidth="1"/>
    <col min="11" max="11" width="9.42578125" bestFit="1" customWidth="1"/>
    <col min="12" max="12" width="12" bestFit="1" customWidth="1"/>
    <col min="13" max="14" width="9.42578125" bestFit="1" customWidth="1"/>
    <col min="15" max="15" width="12" bestFit="1" customWidth="1"/>
    <col min="16" max="16" width="11" bestFit="1" customWidth="1"/>
  </cols>
  <sheetData>
    <row r="2" spans="1:2" x14ac:dyDescent="0.25">
      <c r="B2" t="s">
        <v>190</v>
      </c>
    </row>
    <row r="3" spans="1:2" x14ac:dyDescent="0.25">
      <c r="A3" t="s">
        <v>191</v>
      </c>
      <c r="B3" t="s">
        <v>192</v>
      </c>
    </row>
    <row r="5" spans="1:2" x14ac:dyDescent="0.25">
      <c r="A5" t="s">
        <v>193</v>
      </c>
      <c r="B5" t="s">
        <v>194</v>
      </c>
    </row>
    <row r="6" spans="1:2" x14ac:dyDescent="0.25">
      <c r="B6" t="s">
        <v>195</v>
      </c>
    </row>
    <row r="8" spans="1:2" x14ac:dyDescent="0.25">
      <c r="B8" t="s">
        <v>218</v>
      </c>
    </row>
    <row r="9" spans="1:2" x14ac:dyDescent="0.25">
      <c r="B9" t="s">
        <v>196</v>
      </c>
    </row>
    <row r="11" spans="1:2" x14ac:dyDescent="0.25">
      <c r="A11" t="s">
        <v>188</v>
      </c>
      <c r="B11" t="s">
        <v>221</v>
      </c>
    </row>
    <row r="12" spans="1:2" x14ac:dyDescent="0.25">
      <c r="A12" t="s">
        <v>189</v>
      </c>
      <c r="B12" t="s">
        <v>222</v>
      </c>
    </row>
    <row r="14" spans="1:2" x14ac:dyDescent="0.25">
      <c r="B14" t="s">
        <v>220</v>
      </c>
    </row>
    <row r="15" spans="1:2" x14ac:dyDescent="0.25">
      <c r="B15" t="s">
        <v>197</v>
      </c>
    </row>
    <row r="16" spans="1:2" x14ac:dyDescent="0.25">
      <c r="B16" t="s">
        <v>203</v>
      </c>
    </row>
    <row r="17" spans="2:16" x14ac:dyDescent="0.25">
      <c r="B17" t="s">
        <v>198</v>
      </c>
    </row>
    <row r="18" spans="2:16" x14ac:dyDescent="0.25">
      <c r="B18" t="s">
        <v>208</v>
      </c>
      <c r="C18" t="s">
        <v>205</v>
      </c>
    </row>
    <row r="19" spans="2:16" x14ac:dyDescent="0.25">
      <c r="B19" t="s">
        <v>209</v>
      </c>
      <c r="C19" t="s">
        <v>213</v>
      </c>
    </row>
    <row r="20" spans="2:16" x14ac:dyDescent="0.25">
      <c r="B20" t="s">
        <v>210</v>
      </c>
      <c r="C20" t="s">
        <v>214</v>
      </c>
    </row>
    <row r="21" spans="2:16" x14ac:dyDescent="0.25">
      <c r="B21" t="s">
        <v>211</v>
      </c>
      <c r="C21" t="s">
        <v>215</v>
      </c>
    </row>
    <row r="24" spans="2:16" x14ac:dyDescent="0.25">
      <c r="B24" t="s">
        <v>199</v>
      </c>
    </row>
    <row r="25" spans="2:16" x14ac:dyDescent="0.25">
      <c r="B25" t="s">
        <v>200</v>
      </c>
    </row>
    <row r="26" spans="2:16" x14ac:dyDescent="0.25">
      <c r="B26" t="s">
        <v>201</v>
      </c>
    </row>
    <row r="31" spans="2:16" x14ac:dyDescent="0.25">
      <c r="E31" s="83" t="s">
        <v>188</v>
      </c>
      <c r="F31" s="83"/>
      <c r="G31" s="83"/>
      <c r="K31" s="83" t="s">
        <v>189</v>
      </c>
      <c r="L31" s="83"/>
      <c r="M31" s="83"/>
    </row>
    <row r="32" spans="2:16" x14ac:dyDescent="0.25">
      <c r="E32" t="s">
        <v>217</v>
      </c>
      <c r="I32" t="s">
        <v>2</v>
      </c>
      <c r="J32" t="s">
        <v>142</v>
      </c>
      <c r="K32" t="s">
        <v>187</v>
      </c>
      <c r="O32" t="s">
        <v>2</v>
      </c>
      <c r="P32" t="s">
        <v>142</v>
      </c>
    </row>
    <row r="33" spans="1:196" x14ac:dyDescent="0.25">
      <c r="A33" t="s">
        <v>134</v>
      </c>
      <c r="B33" t="s">
        <v>135</v>
      </c>
      <c r="D33" t="s">
        <v>107</v>
      </c>
      <c r="E33" s="20" t="s">
        <v>99</v>
      </c>
      <c r="F33" s="20" t="s">
        <v>109</v>
      </c>
      <c r="G33" t="s">
        <v>137</v>
      </c>
      <c r="H33">
        <v>1E-4</v>
      </c>
      <c r="I33" t="s">
        <v>141</v>
      </c>
      <c r="J33" t="s">
        <v>141</v>
      </c>
      <c r="K33" t="s">
        <v>99</v>
      </c>
      <c r="L33" t="s">
        <v>109</v>
      </c>
      <c r="M33" t="s">
        <v>137</v>
      </c>
      <c r="N33">
        <v>1E-4</v>
      </c>
      <c r="O33" t="s">
        <v>141</v>
      </c>
      <c r="P33" t="s">
        <v>141</v>
      </c>
    </row>
    <row r="34" spans="1:196" s="43" customFormat="1" x14ac:dyDescent="0.25">
      <c r="A34" s="43" t="s">
        <v>6</v>
      </c>
      <c r="B34" s="43" t="s">
        <v>92</v>
      </c>
      <c r="C34" s="43">
        <v>0</v>
      </c>
      <c r="D34" s="43" t="s">
        <v>110</v>
      </c>
      <c r="E34" s="78">
        <v>44190391.974132702</v>
      </c>
      <c r="F34" s="78">
        <v>35974113.103630498</v>
      </c>
      <c r="G34" s="43">
        <v>0.32524076392364698</v>
      </c>
      <c r="H34" s="43" t="b">
        <f>IF(G34&lt;$H$33,TRUE,FALSE)</f>
        <v>0</v>
      </c>
      <c r="I34">
        <f>LOG10(((10*E34)/0.448))</f>
        <v>8.9940498398259248</v>
      </c>
      <c r="J34">
        <f>LOG10(((10*F34)/0.448))</f>
        <v>8.9047120817599854</v>
      </c>
      <c r="K34" s="78">
        <v>44222337.589137897</v>
      </c>
      <c r="L34" s="78">
        <v>35989863.024232</v>
      </c>
      <c r="M34" s="43">
        <v>0.32519023591828999</v>
      </c>
      <c r="N34" s="43" t="b">
        <f>IF(M34&lt;$N$33,TRUE,FALSE)</f>
        <v>0</v>
      </c>
      <c r="O34">
        <f>LOG10(((10*K34)/0.448))</f>
        <v>8.9943636816220121</v>
      </c>
      <c r="P34">
        <f>LOG10(((10*L34)/0.448))</f>
        <v>8.9049021797530337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</row>
    <row r="35" spans="1:196" s="43" customFormat="1" x14ac:dyDescent="0.25">
      <c r="A35" s="43" t="s">
        <v>6</v>
      </c>
      <c r="B35" s="43" t="s">
        <v>93</v>
      </c>
      <c r="C35" s="43">
        <v>1</v>
      </c>
      <c r="D35" s="43" t="s">
        <v>111</v>
      </c>
      <c r="E35" s="78">
        <v>44190391.974132702</v>
      </c>
      <c r="F35" s="78">
        <v>35974113.103630498</v>
      </c>
      <c r="G35" s="43">
        <v>0.32524076392364698</v>
      </c>
      <c r="H35" s="43" t="b">
        <f t="shared" ref="H35:H56" si="0">IF(G35&lt;$H$33,TRUE,FALSE)</f>
        <v>0</v>
      </c>
      <c r="I35">
        <f>LOG10(((10*E35)/0.448))</f>
        <v>8.9940498398259248</v>
      </c>
      <c r="J35">
        <f t="shared" ref="J35:J57" si="1">LOG10(((10*F35)/0.448))</f>
        <v>8.9047120817599854</v>
      </c>
      <c r="K35" s="78">
        <v>44222337.589137897</v>
      </c>
      <c r="L35" s="78">
        <v>35989863.024232</v>
      </c>
      <c r="M35" s="43">
        <v>0.32519023591828999</v>
      </c>
      <c r="N35" s="43" t="b">
        <f t="shared" ref="N35:N57" si="2">IF(M35&lt;$N$33,TRUE,FALSE)</f>
        <v>0</v>
      </c>
      <c r="O35">
        <f>LOG10(((10*K35)/0.448))</f>
        <v>8.9943636816220121</v>
      </c>
      <c r="P35">
        <f>LOG10(((10*L35)/0.448))</f>
        <v>8.9049021797530337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</row>
    <row r="36" spans="1:196" s="43" customFormat="1" x14ac:dyDescent="0.25">
      <c r="A36" s="43" t="s">
        <v>6</v>
      </c>
      <c r="B36" s="43" t="s">
        <v>94</v>
      </c>
      <c r="C36" s="43">
        <v>2</v>
      </c>
      <c r="D36" s="43" t="s">
        <v>112</v>
      </c>
      <c r="E36" s="78">
        <v>62010879.2559352</v>
      </c>
      <c r="F36" s="78">
        <v>53560613.172862299</v>
      </c>
      <c r="G36" s="43">
        <v>2.2375209433891499E-5</v>
      </c>
      <c r="H36" s="43" t="b">
        <f t="shared" si="0"/>
        <v>1</v>
      </c>
      <c r="I36">
        <f t="shared" ref="I36:I57" si="3">LOG10(((10*E36)/0.448))</f>
        <v>9.1411898752796823</v>
      </c>
      <c r="J36">
        <f t="shared" si="1"/>
        <v>9.0775675262624063</v>
      </c>
      <c r="K36" s="78">
        <v>62010879.063327998</v>
      </c>
      <c r="L36" s="78">
        <v>53560612.966492899</v>
      </c>
      <c r="M36" s="43">
        <v>2.2375209430890898E-5</v>
      </c>
      <c r="N36" s="43" t="b">
        <f t="shared" si="2"/>
        <v>1</v>
      </c>
      <c r="O36">
        <f t="shared" ref="O36:O57" si="4">LOG10(((10*K36)/0.448))</f>
        <v>9.1411898739307542</v>
      </c>
      <c r="P36">
        <f t="shared" ref="P36:P57" si="5">LOG10(((10*L36)/0.448))</f>
        <v>9.0775675245890675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</row>
    <row r="37" spans="1:196" s="44" customFormat="1" x14ac:dyDescent="0.25">
      <c r="A37" s="44" t="s">
        <v>7</v>
      </c>
      <c r="B37" s="44" t="s">
        <v>78</v>
      </c>
      <c r="C37" s="44">
        <v>3</v>
      </c>
      <c r="D37" s="44" t="s">
        <v>113</v>
      </c>
      <c r="E37" s="79">
        <v>34599590.920247398</v>
      </c>
      <c r="F37" s="79">
        <v>28499942.244125899</v>
      </c>
      <c r="G37" s="44">
        <v>3.1238374169158901E-2</v>
      </c>
      <c r="H37" s="44" t="b">
        <f t="shared" si="0"/>
        <v>0</v>
      </c>
      <c r="I37">
        <f t="shared" si="3"/>
        <v>8.887792950051006</v>
      </c>
      <c r="J37">
        <f t="shared" si="1"/>
        <v>8.8035659659021963</v>
      </c>
      <c r="K37" s="79">
        <v>34611925.692492299</v>
      </c>
      <c r="L37" s="79">
        <v>28503030.082707301</v>
      </c>
      <c r="M37" s="44">
        <v>3.1236265100031801E-2</v>
      </c>
      <c r="N37" s="44" t="b">
        <f t="shared" si="2"/>
        <v>0</v>
      </c>
      <c r="O37">
        <f t="shared" si="4"/>
        <v>8.8879477486695126</v>
      </c>
      <c r="P37">
        <f t="shared" si="5"/>
        <v>8.8036130171770157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</row>
    <row r="38" spans="1:196" s="44" customFormat="1" x14ac:dyDescent="0.25">
      <c r="A38" s="44" t="s">
        <v>7</v>
      </c>
      <c r="B38" s="44" t="s">
        <v>79</v>
      </c>
      <c r="C38" s="44">
        <v>4</v>
      </c>
      <c r="D38" s="44" t="s">
        <v>114</v>
      </c>
      <c r="E38" s="79">
        <v>7636578.7550275596</v>
      </c>
      <c r="F38" s="79">
        <v>6877494.4352841796</v>
      </c>
      <c r="G38" s="44">
        <v>0.63485853940647297</v>
      </c>
      <c r="H38" s="44" t="b">
        <f t="shared" si="0"/>
        <v>0</v>
      </c>
      <c r="I38">
        <f t="shared" si="3"/>
        <v>8.2316208209395718</v>
      </c>
      <c r="J38">
        <f t="shared" si="1"/>
        <v>8.1861522336675243</v>
      </c>
      <c r="K38" s="79">
        <v>7646785.1303925002</v>
      </c>
      <c r="L38" s="79">
        <v>6885935.3892480303</v>
      </c>
      <c r="M38" s="44">
        <v>0.63573989045746904</v>
      </c>
      <c r="N38" s="44" t="b">
        <f t="shared" si="2"/>
        <v>0</v>
      </c>
      <c r="O38">
        <f t="shared" si="4"/>
        <v>8.2322008729743708</v>
      </c>
      <c r="P38">
        <f t="shared" si="5"/>
        <v>8.1866849294032296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</row>
    <row r="39" spans="1:196" s="44" customFormat="1" x14ac:dyDescent="0.25">
      <c r="A39" s="44" t="s">
        <v>7</v>
      </c>
      <c r="B39" s="44" t="s">
        <v>80</v>
      </c>
      <c r="C39" s="44">
        <v>5</v>
      </c>
      <c r="D39" s="44" t="s">
        <v>115</v>
      </c>
      <c r="E39" s="79">
        <v>13373855.277285</v>
      </c>
      <c r="F39" s="79">
        <v>12165569.4620611</v>
      </c>
      <c r="G39" s="44">
        <v>9.4089847549670397E-2</v>
      </c>
      <c r="H39" s="44" t="b">
        <f t="shared" si="0"/>
        <v>0</v>
      </c>
      <c r="I39">
        <f t="shared" si="3"/>
        <v>8.4749786052533107</v>
      </c>
      <c r="J39">
        <f t="shared" si="1"/>
        <v>8.4338544287748505</v>
      </c>
      <c r="K39" s="79">
        <v>11453391.028255301</v>
      </c>
      <c r="L39" s="79">
        <v>10450513.279939201</v>
      </c>
      <c r="M39" s="44">
        <v>1</v>
      </c>
      <c r="N39" s="44" t="b">
        <f t="shared" si="2"/>
        <v>0</v>
      </c>
      <c r="O39">
        <f t="shared" si="4"/>
        <v>8.4076560741471429</v>
      </c>
      <c r="P39">
        <f t="shared" si="5"/>
        <v>8.36785960747007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</row>
    <row r="40" spans="1:196" s="23" customFormat="1" x14ac:dyDescent="0.25">
      <c r="A40" s="23" t="s">
        <v>85</v>
      </c>
      <c r="B40" s="23" t="s">
        <v>84</v>
      </c>
      <c r="C40" s="23">
        <v>6</v>
      </c>
      <c r="D40" s="23" t="s">
        <v>116</v>
      </c>
      <c r="E40" s="24">
        <v>24040515.093868501</v>
      </c>
      <c r="F40" s="24">
        <v>20786689.457965199</v>
      </c>
      <c r="G40" s="23">
        <v>9.4433851156702792E-3</v>
      </c>
      <c r="H40" s="23" t="b">
        <f t="shared" si="0"/>
        <v>0</v>
      </c>
      <c r="I40" s="23">
        <f t="shared" si="3"/>
        <v>8.7296657546581908</v>
      </c>
      <c r="J40" s="23">
        <f t="shared" si="1"/>
        <v>8.6665073139758615</v>
      </c>
      <c r="K40" s="24">
        <v>24045790.282121301</v>
      </c>
      <c r="L40" s="24">
        <v>20788755.1165751</v>
      </c>
      <c r="M40" s="23">
        <v>9.4415227293901099E-3</v>
      </c>
      <c r="N40" s="23" t="b">
        <f t="shared" si="2"/>
        <v>0</v>
      </c>
      <c r="O40" s="23">
        <f t="shared" si="4"/>
        <v>8.7297610410454674</v>
      </c>
      <c r="P40" s="23">
        <f t="shared" si="5"/>
        <v>8.6665504694560109</v>
      </c>
    </row>
    <row r="41" spans="1:196" s="23" customFormat="1" x14ac:dyDescent="0.25">
      <c r="A41" s="23" t="s">
        <v>85</v>
      </c>
      <c r="B41" s="23" t="s">
        <v>3</v>
      </c>
      <c r="C41" s="23">
        <v>7</v>
      </c>
      <c r="D41" s="23" t="s">
        <v>117</v>
      </c>
      <c r="E41" s="24">
        <v>46276467.790952899</v>
      </c>
      <c r="F41" s="24">
        <v>37786643.585401602</v>
      </c>
      <c r="G41" s="23">
        <v>1</v>
      </c>
      <c r="H41" s="23" t="b">
        <f t="shared" si="0"/>
        <v>0</v>
      </c>
      <c r="I41" s="23">
        <f t="shared" si="3"/>
        <v>9.0140821885408329</v>
      </c>
      <c r="J41" s="23">
        <f t="shared" si="1"/>
        <v>8.9260603032410106</v>
      </c>
      <c r="K41" s="24">
        <v>46686699.585249797</v>
      </c>
      <c r="L41" s="24">
        <v>38010537.224821404</v>
      </c>
      <c r="M41" s="23">
        <v>1</v>
      </c>
      <c r="N41" s="23" t="b">
        <f t="shared" si="2"/>
        <v>0</v>
      </c>
      <c r="O41" s="23">
        <f t="shared" si="4"/>
        <v>9.0179151595133717</v>
      </c>
      <c r="P41" s="23">
        <f t="shared" si="5"/>
        <v>8.9286259937824575</v>
      </c>
    </row>
    <row r="42" spans="1:196" s="23" customFormat="1" x14ac:dyDescent="0.25">
      <c r="A42" s="23" t="s">
        <v>85</v>
      </c>
      <c r="B42" s="23" t="s">
        <v>4</v>
      </c>
      <c r="C42" s="23">
        <v>8</v>
      </c>
      <c r="D42" s="23" t="s">
        <v>118</v>
      </c>
      <c r="E42" s="24">
        <v>61423452.674223602</v>
      </c>
      <c r="F42" s="24">
        <v>52931599.878094301</v>
      </c>
      <c r="G42" s="23">
        <v>1</v>
      </c>
      <c r="H42" s="23" t="b">
        <f t="shared" si="0"/>
        <v>0</v>
      </c>
      <c r="I42" s="23">
        <f t="shared" si="3"/>
        <v>9.1370562109258842</v>
      </c>
      <c r="J42" s="23">
        <f t="shared" si="1"/>
        <v>9.0724370069103237</v>
      </c>
      <c r="K42" s="24">
        <v>62168440.998784401</v>
      </c>
      <c r="L42" s="24">
        <v>53532326.080304302</v>
      </c>
      <c r="M42" s="23">
        <v>1</v>
      </c>
      <c r="N42" s="23" t="b">
        <f t="shared" si="2"/>
        <v>0</v>
      </c>
      <c r="O42" s="23">
        <f t="shared" si="4"/>
        <v>9.1422919626813428</v>
      </c>
      <c r="P42" s="23">
        <f t="shared" si="5"/>
        <v>9.0773381007077738</v>
      </c>
    </row>
    <row r="43" spans="1:196" s="45" customFormat="1" x14ac:dyDescent="0.25">
      <c r="A43" s="45" t="s">
        <v>5</v>
      </c>
      <c r="B43" s="45" t="s">
        <v>86</v>
      </c>
      <c r="C43" s="45">
        <v>9</v>
      </c>
      <c r="D43" s="45" t="s">
        <v>119</v>
      </c>
      <c r="E43" s="80">
        <v>185550400.459351</v>
      </c>
      <c r="F43" s="80">
        <v>164947834.75654599</v>
      </c>
      <c r="G43" s="45">
        <v>1</v>
      </c>
      <c r="H43" s="45" t="b">
        <f t="shared" si="0"/>
        <v>0</v>
      </c>
      <c r="I43">
        <f t="shared" si="3"/>
        <v>9.6171838819924975</v>
      </c>
      <c r="J43">
        <f t="shared" si="1"/>
        <v>9.5660686050074624</v>
      </c>
      <c r="K43" s="80">
        <v>185989393.70811301</v>
      </c>
      <c r="L43" s="80">
        <v>165209783.26128599</v>
      </c>
      <c r="M43" s="45">
        <v>1</v>
      </c>
      <c r="N43" s="45" t="b">
        <f t="shared" si="2"/>
        <v>0</v>
      </c>
      <c r="O43">
        <f t="shared" si="4"/>
        <v>9.618210164706996</v>
      </c>
      <c r="P43">
        <f t="shared" si="5"/>
        <v>9.5667577474522449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</row>
    <row r="44" spans="1:196" s="45" customFormat="1" x14ac:dyDescent="0.25">
      <c r="A44" s="45" t="s">
        <v>5</v>
      </c>
      <c r="B44" s="45" t="s">
        <v>87</v>
      </c>
      <c r="C44" s="45">
        <v>10</v>
      </c>
      <c r="D44" s="45" t="s">
        <v>120</v>
      </c>
      <c r="E44" s="80">
        <v>62975407.8412183</v>
      </c>
      <c r="F44" s="80">
        <v>54595042.047420502</v>
      </c>
      <c r="G44" s="45">
        <v>6.4879259098301394E-5</v>
      </c>
      <c r="H44" s="45" t="b">
        <f t="shared" si="0"/>
        <v>1</v>
      </c>
      <c r="I44">
        <f t="shared" si="3"/>
        <v>9.1478929747582249</v>
      </c>
      <c r="J44">
        <f t="shared" si="1"/>
        <v>9.0858751908089026</v>
      </c>
      <c r="K44" s="80">
        <v>287266234.48765802</v>
      </c>
      <c r="L44" s="80">
        <v>242164629.815649</v>
      </c>
      <c r="M44" s="45">
        <v>0.85857066536401105</v>
      </c>
      <c r="N44" s="45" t="b">
        <f t="shared" si="2"/>
        <v>0</v>
      </c>
      <c r="O44">
        <f t="shared" si="4"/>
        <v>9.8070065676587017</v>
      </c>
      <c r="P44">
        <f t="shared" si="5"/>
        <v>9.7328326970729684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</row>
    <row r="45" spans="1:196" s="45" customFormat="1" x14ac:dyDescent="0.25">
      <c r="A45" s="45" t="s">
        <v>5</v>
      </c>
      <c r="B45" s="45" t="s">
        <v>88</v>
      </c>
      <c r="C45" s="45">
        <v>11</v>
      </c>
      <c r="D45" s="45" t="s">
        <v>121</v>
      </c>
      <c r="E45" s="80">
        <v>108975978.860174</v>
      </c>
      <c r="F45" s="80">
        <v>99871551.605776399</v>
      </c>
      <c r="G45" s="45">
        <v>2.06075353053095E-2</v>
      </c>
      <c r="H45" s="45" t="b">
        <f t="shared" si="0"/>
        <v>0</v>
      </c>
      <c r="I45">
        <f t="shared" si="3"/>
        <v>9.3860527646933019</v>
      </c>
      <c r="J45">
        <f t="shared" si="1"/>
        <v>9.3481637831355435</v>
      </c>
      <c r="K45" s="80">
        <v>108975978.94088501</v>
      </c>
      <c r="L45" s="80">
        <v>99871551.678408697</v>
      </c>
      <c r="M45" s="45">
        <v>2.06075353278137E-2</v>
      </c>
      <c r="N45" s="45" t="b">
        <f t="shared" si="2"/>
        <v>0</v>
      </c>
      <c r="O45">
        <f t="shared" si="4"/>
        <v>9.3860527650149539</v>
      </c>
      <c r="P45">
        <f t="shared" si="5"/>
        <v>9.3481637834513869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</row>
    <row r="46" spans="1:196" s="43" customFormat="1" x14ac:dyDescent="0.25">
      <c r="A46" s="43" t="s">
        <v>6</v>
      </c>
      <c r="B46" s="43" t="s">
        <v>95</v>
      </c>
      <c r="C46" s="43">
        <v>12</v>
      </c>
      <c r="D46" s="43" t="s">
        <v>122</v>
      </c>
      <c r="E46" s="78">
        <v>25407941.025878999</v>
      </c>
      <c r="F46" s="78">
        <v>21813744.761780899</v>
      </c>
      <c r="G46" s="43">
        <v>0.14088780241198701</v>
      </c>
      <c r="H46" s="43" t="b">
        <f t="shared" si="0"/>
        <v>0</v>
      </c>
      <c r="I46">
        <f t="shared" si="3"/>
        <v>8.7536914587133943</v>
      </c>
      <c r="J46">
        <f t="shared" si="1"/>
        <v>8.687452213239137</v>
      </c>
      <c r="K46" s="78">
        <v>25415131.009918299</v>
      </c>
      <c r="L46" s="78">
        <v>21816830.070099201</v>
      </c>
      <c r="M46" s="43">
        <v>0.14081823099186599</v>
      </c>
      <c r="N46" s="43" t="b">
        <f t="shared" si="2"/>
        <v>0</v>
      </c>
      <c r="O46">
        <f t="shared" si="4"/>
        <v>8.75381433874756</v>
      </c>
      <c r="P46">
        <f t="shared" si="5"/>
        <v>8.6875136349547581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</row>
    <row r="47" spans="1:196" s="43" customFormat="1" x14ac:dyDescent="0.25">
      <c r="A47" s="43" t="s">
        <v>6</v>
      </c>
      <c r="B47" s="43" t="s">
        <v>96</v>
      </c>
      <c r="C47" s="43">
        <v>13</v>
      </c>
      <c r="D47" s="43" t="s">
        <v>123</v>
      </c>
      <c r="E47" s="78">
        <v>70976070.487413794</v>
      </c>
      <c r="F47" s="78">
        <v>63147090.607514501</v>
      </c>
      <c r="G47" s="43">
        <v>0.117264440387897</v>
      </c>
      <c r="H47" s="43" t="b">
        <f t="shared" si="0"/>
        <v>0</v>
      </c>
      <c r="I47">
        <f t="shared" si="3"/>
        <v>9.1998339374395641</v>
      </c>
      <c r="J47">
        <f t="shared" si="1"/>
        <v>9.1490753319904456</v>
      </c>
      <c r="K47" s="78">
        <v>71053520.345282897</v>
      </c>
      <c r="L47" s="78">
        <v>63210567.2444987</v>
      </c>
      <c r="M47" s="43">
        <v>0.117350811608414</v>
      </c>
      <c r="N47" s="43" t="b">
        <f t="shared" si="2"/>
        <v>0</v>
      </c>
      <c r="O47">
        <f t="shared" si="4"/>
        <v>9.2003075859100498</v>
      </c>
      <c r="P47">
        <f t="shared" si="5"/>
        <v>9.1495116736567876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</row>
    <row r="48" spans="1:196" s="43" customFormat="1" x14ac:dyDescent="0.25">
      <c r="A48" s="43" t="s">
        <v>6</v>
      </c>
      <c r="B48" s="43" t="s">
        <v>97</v>
      </c>
      <c r="C48" s="43">
        <v>14</v>
      </c>
      <c r="D48" s="43" t="s">
        <v>124</v>
      </c>
      <c r="E48" s="78">
        <v>100544457.303739</v>
      </c>
      <c r="F48" s="78">
        <v>92201120.769177794</v>
      </c>
      <c r="G48" s="43">
        <v>8.0841292002570106E-2</v>
      </c>
      <c r="H48" s="43" t="b">
        <f t="shared" si="0"/>
        <v>0</v>
      </c>
      <c r="I48">
        <f t="shared" si="3"/>
        <v>9.3510801203204998</v>
      </c>
      <c r="J48">
        <f t="shared" si="1"/>
        <v>9.3134581862410712</v>
      </c>
      <c r="K48" s="78">
        <v>84238632.985065907</v>
      </c>
      <c r="L48" s="78">
        <v>76485890.556440398</v>
      </c>
      <c r="M48" s="43">
        <v>1</v>
      </c>
      <c r="N48" s="43" t="b">
        <f t="shared" si="2"/>
        <v>0</v>
      </c>
      <c r="O48">
        <f t="shared" si="4"/>
        <v>9.2742332965551206</v>
      </c>
      <c r="P48">
        <f t="shared" si="5"/>
        <v>9.2323033137223529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</row>
    <row r="49" spans="1:196" s="44" customFormat="1" x14ac:dyDescent="0.25">
      <c r="A49" s="44" t="s">
        <v>7</v>
      </c>
      <c r="B49" s="44" t="s">
        <v>81</v>
      </c>
      <c r="C49" s="44">
        <v>15</v>
      </c>
      <c r="D49" s="44" t="s">
        <v>125</v>
      </c>
      <c r="E49" s="79">
        <v>15932073.062858799</v>
      </c>
      <c r="F49" s="79">
        <v>14338023.308295</v>
      </c>
      <c r="G49" s="44">
        <v>0.53979986280727199</v>
      </c>
      <c r="H49" s="44" t="b">
        <f t="shared" si="0"/>
        <v>0</v>
      </c>
      <c r="I49">
        <f t="shared" si="3"/>
        <v>8.5509942753738226</v>
      </c>
      <c r="J49">
        <f t="shared" si="1"/>
        <v>8.5052112680538041</v>
      </c>
      <c r="K49" s="79">
        <v>15964648.743182899</v>
      </c>
      <c r="L49" s="79">
        <v>14358321.537386701</v>
      </c>
      <c r="M49" s="44">
        <v>0.53878749530849601</v>
      </c>
      <c r="N49" s="44" t="b">
        <f t="shared" si="2"/>
        <v>0</v>
      </c>
      <c r="O49">
        <f t="shared" si="4"/>
        <v>8.551881353564097</v>
      </c>
      <c r="P49">
        <f t="shared" si="5"/>
        <v>8.5058256606117801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</row>
    <row r="50" spans="1:196" s="44" customFormat="1" x14ac:dyDescent="0.25">
      <c r="A50" s="44" t="s">
        <v>7</v>
      </c>
      <c r="B50" s="44" t="s">
        <v>82</v>
      </c>
      <c r="C50" s="44">
        <v>16</v>
      </c>
      <c r="D50" s="44" t="s">
        <v>126</v>
      </c>
      <c r="E50" s="79">
        <v>25840662.955640402</v>
      </c>
      <c r="F50" s="79">
        <v>22135747.805703901</v>
      </c>
      <c r="G50" s="44">
        <v>0.38510147695289998</v>
      </c>
      <c r="H50" s="44" t="b">
        <f t="shared" si="0"/>
        <v>0</v>
      </c>
      <c r="I50">
        <f t="shared" si="3"/>
        <v>8.7610256375185163</v>
      </c>
      <c r="J50">
        <f t="shared" si="1"/>
        <v>8.6938161842121335</v>
      </c>
      <c r="K50" s="79">
        <v>25923650.420078099</v>
      </c>
      <c r="L50" s="79">
        <v>22170661.487156902</v>
      </c>
      <c r="M50" s="44">
        <v>0.38305283848476002</v>
      </c>
      <c r="N50" s="44" t="b">
        <f t="shared" si="2"/>
        <v>0</v>
      </c>
      <c r="O50">
        <f t="shared" si="4"/>
        <v>8.7624181423698122</v>
      </c>
      <c r="P50">
        <f t="shared" si="5"/>
        <v>8.694500636984472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</row>
    <row r="51" spans="1:196" s="44" customFormat="1" x14ac:dyDescent="0.25">
      <c r="A51" s="44" t="s">
        <v>7</v>
      </c>
      <c r="B51" s="44" t="s">
        <v>83</v>
      </c>
      <c r="C51" s="44">
        <v>17</v>
      </c>
      <c r="D51" s="44" t="s">
        <v>127</v>
      </c>
      <c r="E51" s="79">
        <v>15932073.062858799</v>
      </c>
      <c r="F51" s="79">
        <v>14338023.308295</v>
      </c>
      <c r="G51" s="44">
        <v>0.53979986280727199</v>
      </c>
      <c r="H51" s="44" t="b">
        <f t="shared" si="0"/>
        <v>0</v>
      </c>
      <c r="I51">
        <f t="shared" si="3"/>
        <v>8.5509942753738226</v>
      </c>
      <c r="J51">
        <f t="shared" si="1"/>
        <v>8.5052112680538041</v>
      </c>
      <c r="K51" s="79">
        <v>15964648.743182899</v>
      </c>
      <c r="L51" s="79">
        <v>14358321.537386701</v>
      </c>
      <c r="M51" s="44">
        <v>0.53878749530849601</v>
      </c>
      <c r="N51" s="44" t="b">
        <f t="shared" si="2"/>
        <v>0</v>
      </c>
      <c r="O51">
        <f t="shared" si="4"/>
        <v>8.551881353564097</v>
      </c>
      <c r="P51">
        <f t="shared" si="5"/>
        <v>8.5058256606117801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</row>
    <row r="52" spans="1:196" s="23" customFormat="1" x14ac:dyDescent="0.25">
      <c r="A52" s="23" t="s">
        <v>85</v>
      </c>
      <c r="B52" s="23" t="s">
        <v>6</v>
      </c>
      <c r="C52" s="23">
        <v>18</v>
      </c>
      <c r="D52" s="23" t="s">
        <v>128</v>
      </c>
      <c r="E52" s="24">
        <v>61423452.674223602</v>
      </c>
      <c r="F52" s="24">
        <v>52931599.878094301</v>
      </c>
      <c r="G52" s="23">
        <v>1</v>
      </c>
      <c r="H52" s="23" t="b">
        <f t="shared" si="0"/>
        <v>0</v>
      </c>
      <c r="I52" s="23">
        <f t="shared" si="3"/>
        <v>9.1370562109258842</v>
      </c>
      <c r="J52" s="23">
        <f t="shared" si="1"/>
        <v>9.0724370069103237</v>
      </c>
      <c r="K52" s="24">
        <v>62168440.998784401</v>
      </c>
      <c r="L52" s="24">
        <v>53532326.080304302</v>
      </c>
      <c r="M52" s="23">
        <v>1</v>
      </c>
      <c r="N52" s="23" t="b">
        <f t="shared" si="2"/>
        <v>0</v>
      </c>
      <c r="O52" s="23">
        <f t="shared" si="4"/>
        <v>9.1422919626813428</v>
      </c>
      <c r="P52" s="23">
        <f t="shared" si="5"/>
        <v>9.0773381007077738</v>
      </c>
    </row>
    <row r="53" spans="1:196" s="23" customFormat="1" x14ac:dyDescent="0.25">
      <c r="A53" s="23" t="s">
        <v>85</v>
      </c>
      <c r="B53" s="23" t="s">
        <v>7</v>
      </c>
      <c r="C53" s="23">
        <v>19</v>
      </c>
      <c r="D53" s="23" t="s">
        <v>129</v>
      </c>
      <c r="E53" s="24">
        <v>31201424.260202501</v>
      </c>
      <c r="F53" s="24">
        <v>26042012.304071601</v>
      </c>
      <c r="G53" s="23">
        <v>1.12364322033786E-4</v>
      </c>
      <c r="H53" s="23" t="b">
        <f t="shared" si="0"/>
        <v>0</v>
      </c>
      <c r="I53" s="23">
        <f t="shared" si="3"/>
        <v>8.8428964048353311</v>
      </c>
      <c r="J53" s="23">
        <f t="shared" si="1"/>
        <v>8.7643965257593131</v>
      </c>
      <c r="K53" s="24">
        <v>31289445.527403601</v>
      </c>
      <c r="L53" s="24">
        <v>26057575.7686482</v>
      </c>
      <c r="M53" s="23">
        <v>1.12138331445442E-4</v>
      </c>
      <c r="N53" s="23" t="b">
        <f t="shared" si="2"/>
        <v>0</v>
      </c>
      <c r="O53" s="23">
        <f t="shared" si="4"/>
        <v>8.8441198531901524</v>
      </c>
      <c r="P53" s="23">
        <f t="shared" si="5"/>
        <v>8.7646559952574794</v>
      </c>
    </row>
    <row r="54" spans="1:196" s="23" customFormat="1" x14ac:dyDescent="0.25">
      <c r="A54" s="23" t="s">
        <v>85</v>
      </c>
      <c r="B54" s="23" t="s">
        <v>85</v>
      </c>
      <c r="C54" s="23">
        <v>20</v>
      </c>
      <c r="D54" s="23" t="s">
        <v>130</v>
      </c>
      <c r="E54" s="24">
        <v>82970374.469270706</v>
      </c>
      <c r="F54" s="24">
        <v>75451131.754650995</v>
      </c>
      <c r="G54" s="23">
        <v>1</v>
      </c>
      <c r="H54" s="23" t="b">
        <f t="shared" si="0"/>
        <v>0</v>
      </c>
      <c r="I54" s="23">
        <f t="shared" si="3"/>
        <v>9.2676450361940823</v>
      </c>
      <c r="J54" s="23">
        <f t="shared" si="1"/>
        <v>9.2263877445086067</v>
      </c>
      <c r="K54" s="24">
        <v>84238632.985065907</v>
      </c>
      <c r="L54" s="24">
        <v>76485890.556440398</v>
      </c>
      <c r="M54" s="23">
        <v>1</v>
      </c>
      <c r="N54" s="23" t="b">
        <f t="shared" si="2"/>
        <v>0</v>
      </c>
      <c r="O54" s="23">
        <f t="shared" si="4"/>
        <v>9.2742332965551206</v>
      </c>
      <c r="P54" s="23">
        <f t="shared" si="5"/>
        <v>9.2323033137223529</v>
      </c>
    </row>
    <row r="55" spans="1:196" s="45" customFormat="1" x14ac:dyDescent="0.25">
      <c r="A55" s="45" t="s">
        <v>5</v>
      </c>
      <c r="B55" s="45" t="s">
        <v>89</v>
      </c>
      <c r="C55" s="45">
        <v>21</v>
      </c>
      <c r="D55" s="45" t="s">
        <v>131</v>
      </c>
      <c r="E55" s="80">
        <v>57306131.1650488</v>
      </c>
      <c r="F55" s="80">
        <v>48565486.789432697</v>
      </c>
      <c r="G55" s="45">
        <v>4.5976515922588598E-2</v>
      </c>
      <c r="H55" s="45" t="b">
        <f t="shared" si="0"/>
        <v>0</v>
      </c>
      <c r="I55">
        <f t="shared" si="3"/>
        <v>9.1069230754858399</v>
      </c>
      <c r="J55">
        <f t="shared" si="1"/>
        <v>9.0350497321860939</v>
      </c>
      <c r="K55" s="80">
        <v>46686699.585249797</v>
      </c>
      <c r="L55" s="80">
        <v>38010537.224821404</v>
      </c>
      <c r="M55" s="45">
        <v>1</v>
      </c>
      <c r="N55" s="45" t="b">
        <f t="shared" si="2"/>
        <v>0</v>
      </c>
      <c r="O55">
        <f t="shared" si="4"/>
        <v>9.0179151595133717</v>
      </c>
      <c r="P55">
        <f t="shared" si="5"/>
        <v>8.9286259937824575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</row>
    <row r="56" spans="1:196" s="45" customFormat="1" x14ac:dyDescent="0.25">
      <c r="A56" s="45" t="s">
        <v>5</v>
      </c>
      <c r="B56" s="45" t="s">
        <v>90</v>
      </c>
      <c r="C56" s="45">
        <v>22</v>
      </c>
      <c r="D56" s="45" t="s">
        <v>132</v>
      </c>
      <c r="E56" s="80">
        <v>75799448.755342096</v>
      </c>
      <c r="F56" s="80">
        <v>68189105.206811696</v>
      </c>
      <c r="G56" s="45">
        <v>6.0662547037898997E-3</v>
      </c>
      <c r="H56" s="45" t="b">
        <f t="shared" si="0"/>
        <v>0</v>
      </c>
      <c r="I56">
        <f t="shared" si="3"/>
        <v>9.2283880332779251</v>
      </c>
      <c r="J56">
        <f t="shared" si="1"/>
        <v>9.1824369775713794</v>
      </c>
      <c r="K56" s="80">
        <v>62168440.998784401</v>
      </c>
      <c r="L56" s="80">
        <v>53532326.080304302</v>
      </c>
      <c r="M56" s="45">
        <v>1</v>
      </c>
      <c r="N56" s="45" t="b">
        <f t="shared" si="2"/>
        <v>0</v>
      </c>
      <c r="O56">
        <f t="shared" si="4"/>
        <v>9.1422919626813428</v>
      </c>
      <c r="P56">
        <f t="shared" si="5"/>
        <v>9.0773381007077738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</row>
    <row r="57" spans="1:196" s="45" customFormat="1" x14ac:dyDescent="0.25">
      <c r="A57" s="45" t="s">
        <v>5</v>
      </c>
      <c r="B57" s="45" t="s">
        <v>91</v>
      </c>
      <c r="C57" s="45">
        <v>23</v>
      </c>
      <c r="D57" s="45" t="s">
        <v>133</v>
      </c>
      <c r="E57" s="80">
        <v>112438260.390861</v>
      </c>
      <c r="F57" s="80">
        <v>102975267.99692699</v>
      </c>
      <c r="G57" s="45">
        <v>1</v>
      </c>
      <c r="H57" s="45" t="e">
        <f>IF(G57&lt;#REF!,TRUE,FALSE)</f>
        <v>#REF!</v>
      </c>
      <c r="I57">
        <f t="shared" si="3"/>
        <v>9.399636103722619</v>
      </c>
      <c r="J57">
        <f t="shared" si="1"/>
        <v>9.3614549168991648</v>
      </c>
      <c r="K57" s="80">
        <v>114533910.282534</v>
      </c>
      <c r="L57" s="80">
        <v>104505132.799375</v>
      </c>
      <c r="M57" s="45">
        <v>1</v>
      </c>
      <c r="N57" s="45" t="b">
        <f t="shared" si="2"/>
        <v>0</v>
      </c>
      <c r="O57">
        <f t="shared" si="4"/>
        <v>9.4076560741470718</v>
      </c>
      <c r="P57">
        <f t="shared" si="5"/>
        <v>9.3678596074699989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</row>
  </sheetData>
  <mergeCells count="2">
    <mergeCell ref="E31:G31"/>
    <mergeCell ref="K31:M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5414-50E9-439F-8441-2888107AAD8A}">
  <dimension ref="A1:K49"/>
  <sheetViews>
    <sheetView topLeftCell="A24" workbookViewId="0">
      <selection activeCell="N21" sqref="N21"/>
    </sheetView>
  </sheetViews>
  <sheetFormatPr defaultRowHeight="15" x14ac:dyDescent="0.25"/>
  <cols>
    <col min="4" max="5" width="9.5703125" bestFit="1" customWidth="1"/>
    <col min="6" max="6" width="16.85546875" customWidth="1"/>
    <col min="7" max="7" width="12" bestFit="1" customWidth="1"/>
    <col min="11" max="11" width="24.28515625" style="5" customWidth="1"/>
  </cols>
  <sheetData>
    <row r="1" spans="1:11" x14ac:dyDescent="0.25">
      <c r="A1" t="s">
        <v>134</v>
      </c>
      <c r="B1" t="s">
        <v>139</v>
      </c>
      <c r="C1" t="s">
        <v>107</v>
      </c>
      <c r="D1" t="s">
        <v>137</v>
      </c>
      <c r="E1">
        <v>1E-4</v>
      </c>
      <c r="F1" s="5" t="s">
        <v>2</v>
      </c>
      <c r="G1" s="5" t="s">
        <v>142</v>
      </c>
      <c r="H1" t="s">
        <v>139</v>
      </c>
      <c r="I1" t="s">
        <v>134</v>
      </c>
      <c r="J1" t="s">
        <v>143</v>
      </c>
      <c r="K1" s="5" t="s">
        <v>145</v>
      </c>
    </row>
    <row r="2" spans="1:11" x14ac:dyDescent="0.25">
      <c r="A2" s="23" t="s">
        <v>84</v>
      </c>
      <c r="B2" s="23" t="s">
        <v>92</v>
      </c>
      <c r="C2" s="23" t="s">
        <v>110</v>
      </c>
      <c r="D2" s="24">
        <v>1</v>
      </c>
      <c r="E2" s="23" t="b">
        <v>0</v>
      </c>
      <c r="F2" s="23">
        <v>9.2761764518411223</v>
      </c>
      <c r="G2" s="23">
        <v>9.2342464690083563</v>
      </c>
      <c r="H2" s="23" t="s">
        <v>92</v>
      </c>
      <c r="I2" t="s">
        <v>84</v>
      </c>
      <c r="J2">
        <v>0</v>
      </c>
      <c r="K2" s="5" t="s">
        <v>146</v>
      </c>
    </row>
    <row r="3" spans="1:11" x14ac:dyDescent="0.25">
      <c r="A3" s="23" t="s">
        <v>84</v>
      </c>
      <c r="B3" s="23" t="s">
        <v>93</v>
      </c>
      <c r="C3" s="23" t="s">
        <v>111</v>
      </c>
      <c r="D3" s="24">
        <v>1</v>
      </c>
      <c r="E3" s="23" t="b">
        <v>0</v>
      </c>
      <c r="F3" s="23">
        <v>9.4095992294330735</v>
      </c>
      <c r="G3" s="23">
        <v>9.3698027627560005</v>
      </c>
      <c r="H3" s="23" t="s">
        <v>93</v>
      </c>
      <c r="I3" t="s">
        <v>84</v>
      </c>
      <c r="J3">
        <v>0</v>
      </c>
      <c r="K3" s="5" t="s">
        <v>146</v>
      </c>
    </row>
    <row r="4" spans="1:11" x14ac:dyDescent="0.25">
      <c r="A4" s="23" t="s">
        <v>84</v>
      </c>
      <c r="B4" s="23" t="s">
        <v>94</v>
      </c>
      <c r="C4" s="23" t="s">
        <v>112</v>
      </c>
      <c r="D4" s="24">
        <v>7.4986932988830501E-3</v>
      </c>
      <c r="E4" s="23" t="b">
        <v>0</v>
      </c>
      <c r="F4" s="23">
        <v>8.8807963700692447</v>
      </c>
      <c r="G4" s="23">
        <v>8.7975390416549448</v>
      </c>
      <c r="H4" s="23" t="s">
        <v>94</v>
      </c>
      <c r="I4" t="s">
        <v>84</v>
      </c>
      <c r="J4">
        <v>0</v>
      </c>
      <c r="K4" s="5" t="s">
        <v>146</v>
      </c>
    </row>
    <row r="5" spans="1:11" x14ac:dyDescent="0.25">
      <c r="A5" s="23" t="s">
        <v>84</v>
      </c>
      <c r="B5" s="23" t="s">
        <v>95</v>
      </c>
      <c r="C5" s="23" t="s">
        <v>122</v>
      </c>
      <c r="D5" s="24">
        <v>1</v>
      </c>
      <c r="E5" s="23" t="b">
        <v>0</v>
      </c>
      <c r="F5" s="23">
        <v>9.1442351179673445</v>
      </c>
      <c r="G5" s="23">
        <v>9.0792812559937754</v>
      </c>
      <c r="H5" s="23" t="s">
        <v>95</v>
      </c>
      <c r="I5" t="s">
        <v>84</v>
      </c>
      <c r="J5">
        <v>0</v>
      </c>
      <c r="K5" s="5" t="s">
        <v>146</v>
      </c>
    </row>
    <row r="6" spans="1:11" x14ac:dyDescent="0.25">
      <c r="A6" s="23" t="s">
        <v>84</v>
      </c>
      <c r="B6" s="23" t="s">
        <v>96</v>
      </c>
      <c r="C6" s="23" t="s">
        <v>123</v>
      </c>
      <c r="D6" s="24">
        <v>1</v>
      </c>
      <c r="E6" s="23" t="b">
        <v>0</v>
      </c>
      <c r="F6" s="23">
        <v>8.6201533199929941</v>
      </c>
      <c r="G6" s="23">
        <v>8.568700902738243</v>
      </c>
      <c r="H6" s="23" t="s">
        <v>96</v>
      </c>
      <c r="I6" t="s">
        <v>84</v>
      </c>
      <c r="J6">
        <v>0</v>
      </c>
      <c r="K6" s="5" t="s">
        <v>146</v>
      </c>
    </row>
    <row r="7" spans="1:11" x14ac:dyDescent="0.25">
      <c r="A7" s="23" t="s">
        <v>84</v>
      </c>
      <c r="B7" s="23" t="s">
        <v>96</v>
      </c>
      <c r="C7" s="23" t="s">
        <v>124</v>
      </c>
      <c r="D7" s="24">
        <v>0.47498171140466999</v>
      </c>
      <c r="E7" s="23" t="b">
        <v>0</v>
      </c>
      <c r="F7" s="23">
        <v>9.1116674551846319</v>
      </c>
      <c r="G7" s="23">
        <v>9.0403060661856056</v>
      </c>
      <c r="H7" s="23" t="s">
        <v>96</v>
      </c>
      <c r="I7" t="s">
        <v>84</v>
      </c>
      <c r="J7">
        <v>0</v>
      </c>
      <c r="K7" s="5" t="s">
        <v>146</v>
      </c>
    </row>
    <row r="8" spans="1:11" x14ac:dyDescent="0.25">
      <c r="A8" s="14" t="s">
        <v>3</v>
      </c>
      <c r="B8" s="14" t="s">
        <v>78</v>
      </c>
      <c r="C8" s="14" t="s">
        <v>113</v>
      </c>
      <c r="D8" s="26">
        <v>0.63573989045746904</v>
      </c>
      <c r="E8" s="14" t="b">
        <v>0</v>
      </c>
      <c r="F8" s="14">
        <v>8.2341440282603742</v>
      </c>
      <c r="G8" s="14">
        <v>8.1886280846892312</v>
      </c>
      <c r="H8" t="s">
        <v>78</v>
      </c>
      <c r="I8" t="s">
        <v>3</v>
      </c>
      <c r="J8">
        <v>7.8010060921492332</v>
      </c>
    </row>
    <row r="9" spans="1:11" ht="15.75" thickBot="1" x14ac:dyDescent="0.3">
      <c r="A9" s="14" t="s">
        <v>3</v>
      </c>
      <c r="B9" s="14" t="s">
        <v>79</v>
      </c>
      <c r="C9" s="14" t="s">
        <v>114</v>
      </c>
      <c r="D9" s="26">
        <v>0.194489521154351</v>
      </c>
      <c r="E9" s="14" t="b">
        <v>0</v>
      </c>
      <c r="F9" s="14">
        <v>8.8919314342223235</v>
      </c>
      <c r="G9" s="14">
        <v>8.8073631419576675</v>
      </c>
      <c r="H9" t="s">
        <v>79</v>
      </c>
      <c r="I9" t="s">
        <v>3</v>
      </c>
      <c r="J9">
        <v>8.3420769004355328</v>
      </c>
    </row>
    <row r="10" spans="1:11" ht="15.75" thickBot="1" x14ac:dyDescent="0.3">
      <c r="A10" s="46" t="s">
        <v>3</v>
      </c>
      <c r="B10" s="47" t="s">
        <v>80</v>
      </c>
      <c r="C10" s="47" t="s">
        <v>115</v>
      </c>
      <c r="D10" s="48">
        <v>3.0062384643828999E-31</v>
      </c>
      <c r="E10" s="47" t="b">
        <v>1</v>
      </c>
      <c r="F10" s="47">
        <v>5.3645544615178249</v>
      </c>
      <c r="G10" s="47">
        <v>5.3269438826450264</v>
      </c>
      <c r="H10" s="25" t="s">
        <v>80</v>
      </c>
      <c r="I10" s="25" t="s">
        <v>3</v>
      </c>
      <c r="J10" s="25">
        <v>7.5301897192234764</v>
      </c>
      <c r="K10" s="56" t="s">
        <v>144</v>
      </c>
    </row>
    <row r="11" spans="1:11" ht="15.75" thickBot="1" x14ac:dyDescent="0.3">
      <c r="A11" s="49" t="s">
        <v>3</v>
      </c>
      <c r="B11" s="50" t="s">
        <v>81</v>
      </c>
      <c r="C11" s="50" t="s">
        <v>125</v>
      </c>
      <c r="D11" s="51">
        <v>1.1171868621351601E-6</v>
      </c>
      <c r="E11" s="50" t="b">
        <v>1</v>
      </c>
      <c r="F11" s="50">
        <v>7.2229789086827063</v>
      </c>
      <c r="G11" s="50">
        <v>7.1759008420245616</v>
      </c>
      <c r="H11" s="25" t="s">
        <v>81</v>
      </c>
      <c r="I11" s="25" t="s">
        <v>3</v>
      </c>
      <c r="J11" s="25">
        <v>7.600886023332543</v>
      </c>
      <c r="K11" s="56" t="s">
        <v>147</v>
      </c>
    </row>
    <row r="12" spans="1:11" x14ac:dyDescent="0.25">
      <c r="A12" s="14" t="s">
        <v>3</v>
      </c>
      <c r="B12" s="14" t="s">
        <v>82</v>
      </c>
      <c r="C12" s="14" t="s">
        <v>126</v>
      </c>
      <c r="D12" s="26">
        <v>0.63573989045746904</v>
      </c>
      <c r="E12" s="14" t="b">
        <v>0</v>
      </c>
      <c r="F12" s="14">
        <v>8.2341440282603742</v>
      </c>
      <c r="G12" s="14">
        <v>8.1886280846892312</v>
      </c>
      <c r="H12" t="s">
        <v>82</v>
      </c>
      <c r="I12" t="s">
        <v>3</v>
      </c>
      <c r="J12">
        <v>7.8036145379865518</v>
      </c>
    </row>
    <row r="13" spans="1:11" x14ac:dyDescent="0.25">
      <c r="A13" s="14" t="s">
        <v>3</v>
      </c>
      <c r="B13" s="14" t="s">
        <v>83</v>
      </c>
      <c r="C13" s="14" t="s">
        <v>127</v>
      </c>
      <c r="D13" s="26">
        <v>0.85857066536401405</v>
      </c>
      <c r="E13" s="14" t="b">
        <v>0</v>
      </c>
      <c r="F13" s="14">
        <v>7.8089497229447025</v>
      </c>
      <c r="G13" s="14">
        <v>7.7347758523589683</v>
      </c>
      <c r="H13" t="s">
        <v>83</v>
      </c>
      <c r="I13" t="s">
        <v>3</v>
      </c>
      <c r="J13">
        <v>7.7822420381159683</v>
      </c>
    </row>
    <row r="14" spans="1:11" x14ac:dyDescent="0.25">
      <c r="A14" s="27" t="s">
        <v>4</v>
      </c>
      <c r="B14" s="27" t="s">
        <v>84</v>
      </c>
      <c r="C14" s="27" t="s">
        <v>116</v>
      </c>
      <c r="D14" s="28">
        <v>0.85482279936735195</v>
      </c>
      <c r="E14" s="27" t="b">
        <v>0</v>
      </c>
      <c r="F14" s="27">
        <v>8.3572198218687177</v>
      </c>
      <c r="G14" s="27">
        <v>8.3194936964926871</v>
      </c>
      <c r="H14" t="s">
        <v>84</v>
      </c>
      <c r="I14" t="s">
        <v>4</v>
      </c>
      <c r="J14">
        <v>7.8218768070207103</v>
      </c>
    </row>
    <row r="15" spans="1:11" x14ac:dyDescent="0.25">
      <c r="A15" s="27" t="s">
        <v>4</v>
      </c>
      <c r="B15" s="27" t="s">
        <v>3</v>
      </c>
      <c r="C15" s="27" t="s">
        <v>117</v>
      </c>
      <c r="D15" s="28">
        <v>0.38305283848476002</v>
      </c>
      <c r="E15" s="27" t="b">
        <v>0</v>
      </c>
      <c r="F15" s="27">
        <v>8.7643612976558138</v>
      </c>
      <c r="G15" s="27">
        <v>8.6964437922704736</v>
      </c>
      <c r="H15" t="s">
        <v>3</v>
      </c>
      <c r="I15" t="s">
        <v>4</v>
      </c>
      <c r="J15">
        <v>8.0190586454557842</v>
      </c>
    </row>
    <row r="16" spans="1:11" x14ac:dyDescent="0.25">
      <c r="A16" s="27" t="s">
        <v>4</v>
      </c>
      <c r="B16" s="27" t="s">
        <v>4</v>
      </c>
      <c r="C16" s="27" t="s">
        <v>118</v>
      </c>
      <c r="D16" s="28">
        <v>4.1800239280243498E-3</v>
      </c>
      <c r="E16" s="27" t="b">
        <v>0</v>
      </c>
      <c r="F16" s="27">
        <v>7.9454995545820433</v>
      </c>
      <c r="G16" s="27">
        <v>7.8563273221240033</v>
      </c>
      <c r="H16" t="s">
        <v>4</v>
      </c>
      <c r="I16" t="s">
        <v>4</v>
      </c>
      <c r="J16">
        <v>7.484465321548373</v>
      </c>
    </row>
    <row r="17" spans="1:11" x14ac:dyDescent="0.25">
      <c r="A17" s="27" t="s">
        <v>4</v>
      </c>
      <c r="B17" s="27" t="s">
        <v>6</v>
      </c>
      <c r="C17" s="27" t="s">
        <v>128</v>
      </c>
      <c r="D17" s="28">
        <v>0.38257728615214098</v>
      </c>
      <c r="E17" s="27" t="b">
        <v>0</v>
      </c>
      <c r="F17" s="27">
        <v>8.433439308765692</v>
      </c>
      <c r="G17" s="27">
        <v>8.3941183312560934</v>
      </c>
      <c r="H17" t="s">
        <v>6</v>
      </c>
      <c r="I17" t="s">
        <v>4</v>
      </c>
      <c r="J17">
        <v>7.5762906186122363</v>
      </c>
    </row>
    <row r="18" spans="1:11" x14ac:dyDescent="0.25">
      <c r="A18" s="27" t="s">
        <v>4</v>
      </c>
      <c r="B18" s="27" t="s">
        <v>7</v>
      </c>
      <c r="C18" s="27" t="s">
        <v>129</v>
      </c>
      <c r="D18" s="28">
        <v>1</v>
      </c>
      <c r="E18" s="27" t="b">
        <v>0</v>
      </c>
      <c r="F18" s="27">
        <v>8.0198583147993681</v>
      </c>
      <c r="G18" s="27">
        <v>7.9305691490684538</v>
      </c>
      <c r="H18" t="s">
        <v>7</v>
      </c>
      <c r="I18" t="s">
        <v>4</v>
      </c>
      <c r="J18">
        <v>7.959097229431511</v>
      </c>
    </row>
    <row r="19" spans="1:11" x14ac:dyDescent="0.25">
      <c r="A19" s="27" t="s">
        <v>4</v>
      </c>
      <c r="B19" s="27" t="s">
        <v>85</v>
      </c>
      <c r="C19" s="27" t="s">
        <v>130</v>
      </c>
      <c r="D19" s="28">
        <v>1</v>
      </c>
      <c r="E19" s="27" t="b">
        <v>0</v>
      </c>
      <c r="F19" s="27">
        <v>8.4821195071944917</v>
      </c>
      <c r="G19" s="27">
        <v>8.4405588330644097</v>
      </c>
      <c r="H19" t="s">
        <v>85</v>
      </c>
      <c r="I19" t="s">
        <v>4</v>
      </c>
      <c r="J19">
        <v>7.8535353114309956</v>
      </c>
    </row>
    <row r="20" spans="1:11" x14ac:dyDescent="0.25">
      <c r="A20" s="29" t="s">
        <v>5</v>
      </c>
      <c r="B20" s="29" t="s">
        <v>86</v>
      </c>
      <c r="C20" s="29" t="s">
        <v>119</v>
      </c>
      <c r="D20" s="30">
        <v>5.66917010306859E-4</v>
      </c>
      <c r="E20" s="29" t="b">
        <v>0</v>
      </c>
      <c r="F20" s="29">
        <v>9.073130254466049</v>
      </c>
      <c r="G20" s="29">
        <v>8.9932665341224087</v>
      </c>
      <c r="H20" t="s">
        <v>86</v>
      </c>
      <c r="I20" t="s">
        <v>5</v>
      </c>
      <c r="J20">
        <v>9.0296265704866769</v>
      </c>
    </row>
    <row r="21" spans="1:11" x14ac:dyDescent="0.25">
      <c r="A21" s="29" t="s">
        <v>5</v>
      </c>
      <c r="B21" s="29" t="s">
        <v>87</v>
      </c>
      <c r="C21" s="29" t="s">
        <v>120</v>
      </c>
      <c r="D21" s="30">
        <v>1</v>
      </c>
      <c r="E21" s="29" t="b">
        <v>0</v>
      </c>
      <c r="F21" s="29">
        <v>9.4095992294330735</v>
      </c>
      <c r="G21" s="29">
        <v>9.3698027627560005</v>
      </c>
      <c r="H21" t="s">
        <v>87</v>
      </c>
      <c r="I21" t="s">
        <v>5</v>
      </c>
      <c r="J21">
        <v>8.5882150418302601</v>
      </c>
    </row>
    <row r="22" spans="1:11" x14ac:dyDescent="0.25">
      <c r="A22" s="29" t="s">
        <v>5</v>
      </c>
      <c r="B22" s="29" t="s">
        <v>88</v>
      </c>
      <c r="C22" s="29" t="s">
        <v>121</v>
      </c>
      <c r="D22" s="30">
        <v>0.85857066536401105</v>
      </c>
      <c r="E22" s="29" t="b">
        <v>0</v>
      </c>
      <c r="F22" s="29">
        <v>9.8089497229447034</v>
      </c>
      <c r="G22" s="29">
        <v>9.73477585235897</v>
      </c>
      <c r="H22" t="s">
        <v>88</v>
      </c>
      <c r="I22" t="s">
        <v>5</v>
      </c>
      <c r="J22">
        <v>9.0099672838335625</v>
      </c>
    </row>
    <row r="23" spans="1:11" x14ac:dyDescent="0.25">
      <c r="A23" s="29" t="s">
        <v>5</v>
      </c>
      <c r="B23" s="29" t="s">
        <v>89</v>
      </c>
      <c r="C23" s="29" t="s">
        <v>131</v>
      </c>
      <c r="D23" s="30">
        <v>1</v>
      </c>
      <c r="E23" s="29" t="b">
        <v>0</v>
      </c>
      <c r="F23" s="29">
        <v>9.4821195071944917</v>
      </c>
      <c r="G23" s="29">
        <v>9.4405588330644132</v>
      </c>
      <c r="H23" t="s">
        <v>89</v>
      </c>
      <c r="I23" t="s">
        <v>5</v>
      </c>
      <c r="J23">
        <v>8.7802901232329518</v>
      </c>
    </row>
    <row r="24" spans="1:11" x14ac:dyDescent="0.25">
      <c r="A24" s="29" t="s">
        <v>5</v>
      </c>
      <c r="B24" s="29" t="s">
        <v>90</v>
      </c>
      <c r="C24" s="29" t="s">
        <v>132</v>
      </c>
      <c r="D24" s="30">
        <v>8.3360470028695802E-2</v>
      </c>
      <c r="E24" s="29" t="b">
        <v>0</v>
      </c>
      <c r="F24" s="29">
        <v>9.4290575632187235</v>
      </c>
      <c r="G24" s="29">
        <v>9.3900313382247553</v>
      </c>
      <c r="H24" t="s">
        <v>90</v>
      </c>
      <c r="I24" t="s">
        <v>5</v>
      </c>
      <c r="J24">
        <v>9.0422706215029169</v>
      </c>
    </row>
    <row r="25" spans="1:11" x14ac:dyDescent="0.25">
      <c r="A25" s="29" t="s">
        <v>5</v>
      </c>
      <c r="B25" s="29" t="s">
        <v>91</v>
      </c>
      <c r="C25" s="29" t="s">
        <v>133</v>
      </c>
      <c r="D25" s="30">
        <v>0.85482279936732897</v>
      </c>
      <c r="E25" s="29" t="b">
        <v>0</v>
      </c>
      <c r="F25" s="29">
        <v>9.3572198218687088</v>
      </c>
      <c r="G25" s="29">
        <v>9.3194936964926764</v>
      </c>
      <c r="H25" t="s">
        <v>91</v>
      </c>
      <c r="I25" t="s">
        <v>5</v>
      </c>
      <c r="J25">
        <v>9.097594738939863</v>
      </c>
    </row>
    <row r="26" spans="1:11" x14ac:dyDescent="0.25">
      <c r="A26" s="52" t="s">
        <v>6</v>
      </c>
      <c r="B26" s="52" t="s">
        <v>92</v>
      </c>
      <c r="C26" s="52" t="s">
        <v>110</v>
      </c>
      <c r="D26" s="52">
        <v>0.32519023591828999</v>
      </c>
      <c r="E26" s="52" t="b">
        <v>0</v>
      </c>
      <c r="F26" s="52">
        <v>8.9943636816220121</v>
      </c>
      <c r="G26" s="52">
        <v>8.9049021797530337</v>
      </c>
      <c r="H26" t="s">
        <v>92</v>
      </c>
      <c r="I26" t="s">
        <v>6</v>
      </c>
      <c r="J26">
        <v>8.3688831300769664</v>
      </c>
    </row>
    <row r="27" spans="1:11" ht="15.75" thickBot="1" x14ac:dyDescent="0.3">
      <c r="A27" s="52" t="s">
        <v>6</v>
      </c>
      <c r="B27" s="52" t="s">
        <v>93</v>
      </c>
      <c r="C27" s="52" t="s">
        <v>111</v>
      </c>
      <c r="D27" s="52">
        <v>0.32519023591828999</v>
      </c>
      <c r="E27" s="52" t="b">
        <v>0</v>
      </c>
      <c r="F27" s="52">
        <v>8.9943636816220121</v>
      </c>
      <c r="G27" s="52">
        <v>8.9049021797530337</v>
      </c>
      <c r="H27" t="s">
        <v>93</v>
      </c>
      <c r="I27" t="s">
        <v>6</v>
      </c>
      <c r="J27">
        <v>8.6479740309110671</v>
      </c>
    </row>
    <row r="28" spans="1:11" ht="15.75" thickBot="1" x14ac:dyDescent="0.3">
      <c r="A28" s="53" t="s">
        <v>6</v>
      </c>
      <c r="B28" s="54" t="s">
        <v>94</v>
      </c>
      <c r="C28" s="54" t="s">
        <v>112</v>
      </c>
      <c r="D28" s="54">
        <v>2.2375209430890898E-5</v>
      </c>
      <c r="E28" s="54" t="b">
        <v>1</v>
      </c>
      <c r="F28" s="54">
        <v>9.1411898739307542</v>
      </c>
      <c r="G28" s="55">
        <v>9.0775675245890675</v>
      </c>
      <c r="H28" s="25" t="s">
        <v>94</v>
      </c>
      <c r="I28" s="25" t="s">
        <v>6</v>
      </c>
      <c r="J28" s="25">
        <v>7.943033496805481</v>
      </c>
      <c r="K28" s="56" t="s">
        <v>147</v>
      </c>
    </row>
    <row r="29" spans="1:11" x14ac:dyDescent="0.25">
      <c r="A29" s="52" t="s">
        <v>6</v>
      </c>
      <c r="B29" s="52" t="s">
        <v>95</v>
      </c>
      <c r="C29" s="52" t="s">
        <v>122</v>
      </c>
      <c r="D29" s="52">
        <v>0.14081823099186599</v>
      </c>
      <c r="E29" s="52" t="b">
        <v>0</v>
      </c>
      <c r="F29" s="52">
        <v>8.75381433874756</v>
      </c>
      <c r="G29" s="52">
        <v>8.6875136349547581</v>
      </c>
      <c r="H29" t="s">
        <v>95</v>
      </c>
      <c r="I29" t="s">
        <v>6</v>
      </c>
      <c r="J29">
        <v>8.7286939638031917</v>
      </c>
    </row>
    <row r="30" spans="1:11" x14ac:dyDescent="0.25">
      <c r="A30" s="52" t="s">
        <v>6</v>
      </c>
      <c r="B30" s="52" t="s">
        <v>96</v>
      </c>
      <c r="C30" s="52" t="s">
        <v>123</v>
      </c>
      <c r="D30" s="52">
        <v>0.117350811608414</v>
      </c>
      <c r="E30" s="52" t="b">
        <v>0</v>
      </c>
      <c r="F30" s="52">
        <v>9.2003075859100498</v>
      </c>
      <c r="G30" s="52">
        <v>9.1495116736567876</v>
      </c>
      <c r="H30" t="s">
        <v>96</v>
      </c>
      <c r="I30" t="s">
        <v>6</v>
      </c>
      <c r="J30">
        <v>8.7160140251297094</v>
      </c>
    </row>
    <row r="31" spans="1:11" x14ac:dyDescent="0.25">
      <c r="A31" s="52" t="s">
        <v>6</v>
      </c>
      <c r="B31" s="52" t="s">
        <v>97</v>
      </c>
      <c r="C31" s="52" t="s">
        <v>124</v>
      </c>
      <c r="D31" s="52">
        <v>1</v>
      </c>
      <c r="E31" s="52" t="b">
        <v>0</v>
      </c>
      <c r="F31" s="52">
        <v>9.2742332965551206</v>
      </c>
      <c r="G31" s="52">
        <v>9.2323033137223529</v>
      </c>
      <c r="H31" t="s">
        <v>97</v>
      </c>
      <c r="I31" t="s">
        <v>6</v>
      </c>
      <c r="J31">
        <v>8.7664365835732578</v>
      </c>
    </row>
    <row r="32" spans="1:11" x14ac:dyDescent="0.25">
      <c r="A32" s="44" t="s">
        <v>7</v>
      </c>
      <c r="B32" s="44" t="s">
        <v>78</v>
      </c>
      <c r="C32" s="44" t="s">
        <v>113</v>
      </c>
      <c r="D32" s="44">
        <v>3.1236265100031801E-2</v>
      </c>
      <c r="E32" s="44" t="b">
        <v>0</v>
      </c>
      <c r="F32" s="44">
        <v>8.8879477486695126</v>
      </c>
      <c r="G32" s="44">
        <v>8.8036130171770157</v>
      </c>
      <c r="H32" t="s">
        <v>78</v>
      </c>
      <c r="I32" t="s">
        <v>7</v>
      </c>
      <c r="J32">
        <v>8.0678531344129869</v>
      </c>
    </row>
    <row r="33" spans="1:11" x14ac:dyDescent="0.25">
      <c r="A33" s="44" t="s">
        <v>7</v>
      </c>
      <c r="B33" s="44" t="s">
        <v>79</v>
      </c>
      <c r="C33" s="44" t="s">
        <v>114</v>
      </c>
      <c r="D33" s="44">
        <v>0.63573989045746904</v>
      </c>
      <c r="E33" s="44" t="b">
        <v>0</v>
      </c>
      <c r="F33" s="44">
        <v>8.2322008729743708</v>
      </c>
      <c r="G33" s="44">
        <v>8.1866849294032296</v>
      </c>
      <c r="H33" t="s">
        <v>79</v>
      </c>
      <c r="I33" t="s">
        <v>7</v>
      </c>
      <c r="J33">
        <v>7.7497722979332098</v>
      </c>
    </row>
    <row r="34" spans="1:11" x14ac:dyDescent="0.25">
      <c r="A34" s="44" t="s">
        <v>7</v>
      </c>
      <c r="B34" s="44" t="s">
        <v>80</v>
      </c>
      <c r="C34" s="44" t="s">
        <v>115</v>
      </c>
      <c r="D34" s="44">
        <v>1</v>
      </c>
      <c r="E34" s="44" t="b">
        <v>0</v>
      </c>
      <c r="F34" s="44">
        <v>8.4076560741471429</v>
      </c>
      <c r="G34" s="44">
        <v>8.36785960747007</v>
      </c>
      <c r="H34" t="s">
        <v>80</v>
      </c>
      <c r="I34" t="s">
        <v>7</v>
      </c>
      <c r="J34">
        <v>7.547630699023073</v>
      </c>
    </row>
    <row r="35" spans="1:11" x14ac:dyDescent="0.25">
      <c r="A35" s="44" t="s">
        <v>7</v>
      </c>
      <c r="B35" s="44" t="s">
        <v>81</v>
      </c>
      <c r="C35" s="44" t="s">
        <v>125</v>
      </c>
      <c r="D35" s="44">
        <v>0.53878749530849601</v>
      </c>
      <c r="E35" s="44" t="b">
        <v>0</v>
      </c>
      <c r="F35" s="44">
        <v>8.551881353564097</v>
      </c>
      <c r="G35" s="44">
        <v>8.5058256606117801</v>
      </c>
      <c r="H35" t="s">
        <v>81</v>
      </c>
      <c r="I35" t="s">
        <v>7</v>
      </c>
      <c r="J35">
        <v>7.4915420585084975</v>
      </c>
    </row>
    <row r="36" spans="1:11" x14ac:dyDescent="0.25">
      <c r="A36" s="44" t="s">
        <v>7</v>
      </c>
      <c r="B36" s="44" t="s">
        <v>82</v>
      </c>
      <c r="C36" s="44" t="s">
        <v>126</v>
      </c>
      <c r="D36" s="44">
        <v>0.38305283848476002</v>
      </c>
      <c r="E36" s="44" t="b">
        <v>0</v>
      </c>
      <c r="F36" s="44">
        <v>8.7624181423698122</v>
      </c>
      <c r="G36" s="44">
        <v>8.694500636984472</v>
      </c>
      <c r="H36" t="s">
        <v>82</v>
      </c>
      <c r="I36" t="s">
        <v>7</v>
      </c>
      <c r="J36">
        <v>7.9397390854947822</v>
      </c>
    </row>
    <row r="37" spans="1:11" x14ac:dyDescent="0.25">
      <c r="A37" s="44" t="s">
        <v>7</v>
      </c>
      <c r="B37" s="44" t="s">
        <v>83</v>
      </c>
      <c r="C37" s="44" t="s">
        <v>127</v>
      </c>
      <c r="D37" s="44">
        <v>0.53878749530849601</v>
      </c>
      <c r="E37" s="44" t="b">
        <v>0</v>
      </c>
      <c r="F37" s="44">
        <v>8.551881353564097</v>
      </c>
      <c r="G37" s="44">
        <v>8.5058256606117801</v>
      </c>
      <c r="H37" t="s">
        <v>83</v>
      </c>
      <c r="I37" t="s">
        <v>7</v>
      </c>
      <c r="J37">
        <v>7.8248753918418315</v>
      </c>
    </row>
    <row r="38" spans="1:11" x14ac:dyDescent="0.25">
      <c r="A38" s="23" t="s">
        <v>85</v>
      </c>
      <c r="B38" s="23" t="s">
        <v>84</v>
      </c>
      <c r="C38" s="23" t="s">
        <v>116</v>
      </c>
      <c r="D38" s="23">
        <v>9.4415227293901099E-3</v>
      </c>
      <c r="E38" s="23" t="b">
        <v>0</v>
      </c>
      <c r="F38" s="23">
        <v>8.7297610410454674</v>
      </c>
      <c r="G38" s="23">
        <v>8.6665504694560109</v>
      </c>
      <c r="H38" t="s">
        <v>84</v>
      </c>
      <c r="I38" t="s">
        <v>85</v>
      </c>
      <c r="J38">
        <v>0</v>
      </c>
      <c r="K38" s="5" t="s">
        <v>146</v>
      </c>
    </row>
    <row r="39" spans="1:11" x14ac:dyDescent="0.25">
      <c r="A39" s="23" t="s">
        <v>85</v>
      </c>
      <c r="B39" s="23" t="s">
        <v>3</v>
      </c>
      <c r="C39" s="23" t="s">
        <v>117</v>
      </c>
      <c r="D39" s="23">
        <v>1</v>
      </c>
      <c r="E39" s="23" t="b">
        <v>0</v>
      </c>
      <c r="F39" s="23">
        <v>9.0179151595133717</v>
      </c>
      <c r="G39" s="23">
        <v>8.9286259937824575</v>
      </c>
      <c r="H39" t="s">
        <v>3</v>
      </c>
      <c r="I39" t="s">
        <v>85</v>
      </c>
      <c r="J39">
        <v>0</v>
      </c>
      <c r="K39" s="5" t="s">
        <v>146</v>
      </c>
    </row>
    <row r="40" spans="1:11" x14ac:dyDescent="0.25">
      <c r="A40" s="23" t="s">
        <v>85</v>
      </c>
      <c r="B40" s="23" t="s">
        <v>4</v>
      </c>
      <c r="C40" s="23" t="s">
        <v>118</v>
      </c>
      <c r="D40" s="23">
        <v>1</v>
      </c>
      <c r="E40" s="23" t="b">
        <v>0</v>
      </c>
      <c r="F40" s="23">
        <v>9.1422919626813428</v>
      </c>
      <c r="G40" s="23">
        <v>9.0773381007077738</v>
      </c>
      <c r="H40" t="s">
        <v>4</v>
      </c>
      <c r="I40" t="s">
        <v>85</v>
      </c>
      <c r="J40">
        <v>0</v>
      </c>
      <c r="K40" s="5" t="s">
        <v>146</v>
      </c>
    </row>
    <row r="41" spans="1:11" x14ac:dyDescent="0.25">
      <c r="A41" s="23" t="s">
        <v>85</v>
      </c>
      <c r="B41" s="23" t="s">
        <v>6</v>
      </c>
      <c r="C41" s="23" t="s">
        <v>128</v>
      </c>
      <c r="D41" s="23">
        <v>1</v>
      </c>
      <c r="E41" s="23" t="b">
        <v>0</v>
      </c>
      <c r="F41" s="23">
        <v>9.1422919626813428</v>
      </c>
      <c r="G41" s="23">
        <v>9.0773381007077738</v>
      </c>
      <c r="H41" t="s">
        <v>6</v>
      </c>
      <c r="I41" t="s">
        <v>85</v>
      </c>
      <c r="J41">
        <v>0</v>
      </c>
      <c r="K41" s="5" t="s">
        <v>146</v>
      </c>
    </row>
    <row r="42" spans="1:11" x14ac:dyDescent="0.25">
      <c r="A42" s="23" t="s">
        <v>85</v>
      </c>
      <c r="B42" s="23" t="s">
        <v>7</v>
      </c>
      <c r="C42" s="23" t="s">
        <v>129</v>
      </c>
      <c r="D42" s="23">
        <v>1.12138331445442E-4</v>
      </c>
      <c r="E42" s="23" t="b">
        <v>0</v>
      </c>
      <c r="F42" s="23">
        <v>8.8441198531901524</v>
      </c>
      <c r="G42" s="23">
        <v>8.7646559952574794</v>
      </c>
      <c r="H42" t="s">
        <v>7</v>
      </c>
      <c r="I42" t="s">
        <v>85</v>
      </c>
      <c r="J42">
        <v>0</v>
      </c>
      <c r="K42" s="5" t="s">
        <v>146</v>
      </c>
    </row>
    <row r="43" spans="1:11" x14ac:dyDescent="0.25">
      <c r="A43" s="23" t="s">
        <v>85</v>
      </c>
      <c r="B43" s="23" t="s">
        <v>85</v>
      </c>
      <c r="C43" s="23" t="s">
        <v>130</v>
      </c>
      <c r="D43" s="23">
        <v>1</v>
      </c>
      <c r="E43" s="23" t="b">
        <v>0</v>
      </c>
      <c r="F43" s="23">
        <v>9.2742332965551206</v>
      </c>
      <c r="G43" s="23">
        <v>9.2323033137223529</v>
      </c>
      <c r="H43" t="s">
        <v>85</v>
      </c>
      <c r="I43" t="s">
        <v>85</v>
      </c>
      <c r="J43">
        <v>0</v>
      </c>
      <c r="K43" s="5" t="s">
        <v>146</v>
      </c>
    </row>
    <row r="44" spans="1:11" x14ac:dyDescent="0.25">
      <c r="A44" s="45" t="s">
        <v>5</v>
      </c>
      <c r="B44" s="45" t="s">
        <v>86</v>
      </c>
      <c r="C44" s="45" t="s">
        <v>119</v>
      </c>
      <c r="D44" s="45">
        <v>1</v>
      </c>
      <c r="E44" s="45" t="b">
        <v>0</v>
      </c>
      <c r="F44" s="45">
        <v>9.618210164706996</v>
      </c>
      <c r="G44" s="45">
        <v>9.5667577474522449</v>
      </c>
      <c r="H44" t="s">
        <v>86</v>
      </c>
      <c r="I44" t="s">
        <v>5</v>
      </c>
      <c r="J44">
        <v>9.0218969275173304</v>
      </c>
    </row>
    <row r="45" spans="1:11" x14ac:dyDescent="0.25">
      <c r="A45" s="45" t="s">
        <v>5</v>
      </c>
      <c r="B45" s="45" t="s">
        <v>87</v>
      </c>
      <c r="C45" s="45" t="s">
        <v>120</v>
      </c>
      <c r="D45" s="45">
        <v>0.85857066536401105</v>
      </c>
      <c r="E45" s="45" t="b">
        <v>0</v>
      </c>
      <c r="F45" s="45">
        <v>9.8070065676587017</v>
      </c>
      <c r="G45" s="45">
        <v>9.7328326970729684</v>
      </c>
      <c r="H45" t="s">
        <v>87</v>
      </c>
      <c r="I45" t="s">
        <v>5</v>
      </c>
      <c r="J45">
        <v>8.2214300805901512</v>
      </c>
    </row>
    <row r="46" spans="1:11" x14ac:dyDescent="0.25">
      <c r="A46" s="45" t="s">
        <v>5</v>
      </c>
      <c r="B46" s="45" t="s">
        <v>88</v>
      </c>
      <c r="C46" s="45" t="s">
        <v>121</v>
      </c>
      <c r="D46" s="45">
        <v>2.06075353278137E-2</v>
      </c>
      <c r="E46" s="45" t="b">
        <v>0</v>
      </c>
      <c r="F46" s="45">
        <v>9.3860527650149539</v>
      </c>
      <c r="G46" s="45">
        <v>9.3481637834513869</v>
      </c>
      <c r="H46" t="s">
        <v>88</v>
      </c>
      <c r="I46" t="s">
        <v>5</v>
      </c>
      <c r="J46">
        <v>8.7066711172629585</v>
      </c>
    </row>
    <row r="47" spans="1:11" x14ac:dyDescent="0.25">
      <c r="A47" s="45" t="s">
        <v>5</v>
      </c>
      <c r="B47" s="45" t="s">
        <v>89</v>
      </c>
      <c r="C47" s="45" t="s">
        <v>131</v>
      </c>
      <c r="D47" s="45">
        <v>1</v>
      </c>
      <c r="E47" s="45" t="b">
        <v>0</v>
      </c>
      <c r="F47" s="45">
        <v>9.0179151595133717</v>
      </c>
      <c r="G47" s="45">
        <v>8.9286259937824575</v>
      </c>
      <c r="H47" t="s">
        <v>89</v>
      </c>
      <c r="I47" t="s">
        <v>5</v>
      </c>
      <c r="J47">
        <v>8.9129511744272421</v>
      </c>
    </row>
    <row r="48" spans="1:11" x14ac:dyDescent="0.25">
      <c r="A48" s="45" t="s">
        <v>5</v>
      </c>
      <c r="B48" s="45" t="s">
        <v>90</v>
      </c>
      <c r="C48" s="45" t="s">
        <v>132</v>
      </c>
      <c r="D48" s="45">
        <v>1</v>
      </c>
      <c r="E48" s="45" t="b">
        <v>0</v>
      </c>
      <c r="F48" s="45">
        <v>9.1422919626813428</v>
      </c>
      <c r="G48" s="45">
        <v>9.0773381007077738</v>
      </c>
      <c r="H48" t="s">
        <v>90</v>
      </c>
      <c r="I48" t="s">
        <v>5</v>
      </c>
      <c r="J48">
        <v>8.936108429314281</v>
      </c>
    </row>
    <row r="49" spans="1:10" x14ac:dyDescent="0.25">
      <c r="A49" s="45" t="s">
        <v>5</v>
      </c>
      <c r="B49" s="45" t="s">
        <v>91</v>
      </c>
      <c r="C49" s="45" t="s">
        <v>133</v>
      </c>
      <c r="D49" s="45">
        <v>1</v>
      </c>
      <c r="E49" s="45" t="b">
        <v>0</v>
      </c>
      <c r="F49" s="45">
        <v>9.4076560741470718</v>
      </c>
      <c r="G49" s="45">
        <v>9.3678596074699989</v>
      </c>
      <c r="H49" t="s">
        <v>91</v>
      </c>
      <c r="I49" t="s">
        <v>5</v>
      </c>
      <c r="J49">
        <v>8.7509258086363797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244-EC90-4BFC-9765-9A0AFCB3894D}">
  <dimension ref="A1:F34"/>
  <sheetViews>
    <sheetView workbookViewId="0">
      <selection activeCell="J32" sqref="J32"/>
    </sheetView>
  </sheetViews>
  <sheetFormatPr defaultRowHeight="15" x14ac:dyDescent="0.25"/>
  <sheetData>
    <row r="1" spans="1:5" x14ac:dyDescent="0.25">
      <c r="A1" t="s">
        <v>0</v>
      </c>
      <c r="B1" t="s">
        <v>148</v>
      </c>
      <c r="C1" t="s">
        <v>2</v>
      </c>
      <c r="D1" t="s">
        <v>142</v>
      </c>
      <c r="E1" t="s">
        <v>143</v>
      </c>
    </row>
    <row r="2" spans="1:5" x14ac:dyDescent="0.25">
      <c r="A2" t="s">
        <v>3</v>
      </c>
      <c r="B2" t="s">
        <v>78</v>
      </c>
      <c r="C2">
        <v>8.2341440282603742</v>
      </c>
      <c r="D2">
        <v>8.1886280846892312</v>
      </c>
      <c r="E2">
        <v>7.8010060921492332</v>
      </c>
    </row>
    <row r="3" spans="1:5" x14ac:dyDescent="0.25">
      <c r="A3" t="s">
        <v>3</v>
      </c>
      <c r="B3" t="s">
        <v>79</v>
      </c>
      <c r="C3">
        <v>8.8919314342223235</v>
      </c>
      <c r="D3">
        <v>8.8073631419576675</v>
      </c>
      <c r="E3">
        <v>8.3420769004355328</v>
      </c>
    </row>
    <row r="4" spans="1:5" x14ac:dyDescent="0.25">
      <c r="A4" t="s">
        <v>3</v>
      </c>
      <c r="B4" t="s">
        <v>82</v>
      </c>
      <c r="C4">
        <v>8.2341440282603742</v>
      </c>
      <c r="D4">
        <v>8.1886280846892312</v>
      </c>
      <c r="E4">
        <v>7.8036145379865518</v>
      </c>
    </row>
    <row r="5" spans="1:5" x14ac:dyDescent="0.25">
      <c r="A5" t="s">
        <v>3</v>
      </c>
      <c r="B5" t="s">
        <v>83</v>
      </c>
      <c r="C5">
        <v>7.8089497229447025</v>
      </c>
      <c r="D5">
        <v>7.7347758523589683</v>
      </c>
      <c r="E5">
        <v>7.7822420381159683</v>
      </c>
    </row>
    <row r="6" spans="1:5" x14ac:dyDescent="0.25">
      <c r="A6" t="s">
        <v>4</v>
      </c>
      <c r="B6" t="s">
        <v>84</v>
      </c>
      <c r="C6">
        <v>8.3572198218687177</v>
      </c>
      <c r="D6">
        <v>8.3194936964926871</v>
      </c>
      <c r="E6">
        <v>7.8218768070207103</v>
      </c>
    </row>
    <row r="7" spans="1:5" x14ac:dyDescent="0.25">
      <c r="A7" t="s">
        <v>4</v>
      </c>
      <c r="B7" t="s">
        <v>3</v>
      </c>
      <c r="C7">
        <v>8.7643612976558138</v>
      </c>
      <c r="D7">
        <v>8.6964437922704736</v>
      </c>
      <c r="E7">
        <v>8.0190586454557842</v>
      </c>
    </row>
    <row r="8" spans="1:5" x14ac:dyDescent="0.25">
      <c r="A8" t="s">
        <v>4</v>
      </c>
      <c r="B8" t="s">
        <v>4</v>
      </c>
      <c r="C8">
        <v>7.9454995545820433</v>
      </c>
      <c r="D8">
        <v>7.8563273221240033</v>
      </c>
      <c r="E8">
        <v>7.484465321548373</v>
      </c>
    </row>
    <row r="9" spans="1:5" x14ac:dyDescent="0.25">
      <c r="A9" t="s">
        <v>4</v>
      </c>
      <c r="B9" t="s">
        <v>6</v>
      </c>
      <c r="C9">
        <v>8.433439308765692</v>
      </c>
      <c r="D9">
        <v>8.3941183312560934</v>
      </c>
      <c r="E9">
        <v>7.5762906186122363</v>
      </c>
    </row>
    <row r="10" spans="1:5" x14ac:dyDescent="0.25">
      <c r="A10" t="s">
        <v>4</v>
      </c>
      <c r="B10" t="s">
        <v>7</v>
      </c>
      <c r="C10">
        <v>8.0198583147993681</v>
      </c>
      <c r="D10">
        <v>7.9305691490684538</v>
      </c>
      <c r="E10">
        <v>7.959097229431511</v>
      </c>
    </row>
    <row r="11" spans="1:5" x14ac:dyDescent="0.25">
      <c r="A11" t="s">
        <v>4</v>
      </c>
      <c r="B11" t="s">
        <v>85</v>
      </c>
      <c r="C11">
        <v>8.4821195071944917</v>
      </c>
      <c r="D11">
        <v>8.4405588330644097</v>
      </c>
      <c r="E11">
        <v>7.8535353114309956</v>
      </c>
    </row>
    <row r="12" spans="1:5" x14ac:dyDescent="0.25">
      <c r="A12" t="s">
        <v>6</v>
      </c>
      <c r="B12" t="s">
        <v>92</v>
      </c>
      <c r="C12">
        <v>8.9943636816220121</v>
      </c>
      <c r="D12">
        <v>8.9049021797530337</v>
      </c>
      <c r="E12">
        <v>8.3688831300769664</v>
      </c>
    </row>
    <row r="13" spans="1:5" x14ac:dyDescent="0.25">
      <c r="A13" t="s">
        <v>6</v>
      </c>
      <c r="B13" t="s">
        <v>93</v>
      </c>
      <c r="C13">
        <v>8.9943636816220121</v>
      </c>
      <c r="D13">
        <v>8.9049021797530337</v>
      </c>
      <c r="E13">
        <v>8.6479740309110671</v>
      </c>
    </row>
    <row r="14" spans="1:5" x14ac:dyDescent="0.25">
      <c r="A14" t="s">
        <v>6</v>
      </c>
      <c r="B14" t="s">
        <v>95</v>
      </c>
      <c r="C14">
        <v>8.75381433874756</v>
      </c>
      <c r="D14">
        <v>8.6875136349547581</v>
      </c>
      <c r="E14">
        <v>8.7286939638031917</v>
      </c>
    </row>
    <row r="15" spans="1:5" x14ac:dyDescent="0.25">
      <c r="A15" t="s">
        <v>6</v>
      </c>
      <c r="B15" t="s">
        <v>96</v>
      </c>
      <c r="C15">
        <v>9.2003075859100498</v>
      </c>
      <c r="D15">
        <v>9.1495116736567876</v>
      </c>
      <c r="E15">
        <v>8.7160140251297094</v>
      </c>
    </row>
    <row r="16" spans="1:5" x14ac:dyDescent="0.25">
      <c r="A16" t="s">
        <v>6</v>
      </c>
      <c r="B16" t="s">
        <v>97</v>
      </c>
      <c r="C16">
        <v>9.2742332965551206</v>
      </c>
      <c r="D16">
        <v>9.2323033137223529</v>
      </c>
      <c r="E16">
        <v>8.7664365835732578</v>
      </c>
    </row>
    <row r="17" spans="1:6" x14ac:dyDescent="0.25">
      <c r="A17" t="s">
        <v>7</v>
      </c>
      <c r="B17" t="s">
        <v>78</v>
      </c>
      <c r="C17">
        <v>8.8879477486695126</v>
      </c>
      <c r="D17">
        <v>8.8036130171770157</v>
      </c>
      <c r="E17">
        <v>8.0678531344129869</v>
      </c>
    </row>
    <row r="18" spans="1:6" x14ac:dyDescent="0.25">
      <c r="A18" t="s">
        <v>7</v>
      </c>
      <c r="B18" t="s">
        <v>79</v>
      </c>
      <c r="C18">
        <v>8.2322008729743708</v>
      </c>
      <c r="D18">
        <v>8.1866849294032296</v>
      </c>
      <c r="E18">
        <v>7.7497722979332098</v>
      </c>
    </row>
    <row r="19" spans="1:6" x14ac:dyDescent="0.25">
      <c r="A19" t="s">
        <v>7</v>
      </c>
      <c r="B19" t="s">
        <v>80</v>
      </c>
      <c r="C19">
        <v>8.4076560741471429</v>
      </c>
      <c r="D19">
        <v>8.36785960747007</v>
      </c>
      <c r="E19">
        <v>7.547630699023073</v>
      </c>
    </row>
    <row r="20" spans="1:6" x14ac:dyDescent="0.25">
      <c r="A20" t="s">
        <v>7</v>
      </c>
      <c r="B20" t="s">
        <v>81</v>
      </c>
      <c r="C20">
        <v>8.551881353564097</v>
      </c>
      <c r="D20">
        <v>8.5058256606117801</v>
      </c>
      <c r="E20">
        <v>7.4915420585084975</v>
      </c>
    </row>
    <row r="21" spans="1:6" x14ac:dyDescent="0.25">
      <c r="A21" t="s">
        <v>7</v>
      </c>
      <c r="B21" t="s">
        <v>82</v>
      </c>
      <c r="C21">
        <v>8.7624181423698122</v>
      </c>
      <c r="D21">
        <v>8.694500636984472</v>
      </c>
      <c r="E21">
        <v>7.9397390854947822</v>
      </c>
    </row>
    <row r="22" spans="1:6" x14ac:dyDescent="0.25">
      <c r="A22" t="s">
        <v>7</v>
      </c>
      <c r="B22" t="s">
        <v>83</v>
      </c>
      <c r="C22">
        <v>8.551881353564097</v>
      </c>
      <c r="D22">
        <v>8.5058256606117801</v>
      </c>
      <c r="E22">
        <v>7.8248753918418315</v>
      </c>
    </row>
    <row r="23" spans="1:6" x14ac:dyDescent="0.25">
      <c r="A23" s="15" t="s">
        <v>5</v>
      </c>
      <c r="B23" s="15" t="s">
        <v>86</v>
      </c>
      <c r="C23" s="15">
        <v>9.073130254466049</v>
      </c>
      <c r="D23" s="15">
        <v>8.9932665341224087</v>
      </c>
      <c r="E23" s="15">
        <v>9.0296265704866769</v>
      </c>
      <c r="F23" t="s">
        <v>182</v>
      </c>
    </row>
    <row r="24" spans="1:6" x14ac:dyDescent="0.25">
      <c r="A24" s="15" t="s">
        <v>5</v>
      </c>
      <c r="B24" s="15" t="s">
        <v>87</v>
      </c>
      <c r="C24" s="15">
        <v>9.4095992294330735</v>
      </c>
      <c r="D24" s="15">
        <v>9.3698027627560005</v>
      </c>
      <c r="E24" s="15">
        <v>8.5882150418302601</v>
      </c>
    </row>
    <row r="25" spans="1:6" x14ac:dyDescent="0.25">
      <c r="A25" s="15" t="s">
        <v>5</v>
      </c>
      <c r="B25" s="15" t="s">
        <v>88</v>
      </c>
      <c r="C25" s="15">
        <v>9.8089497229447034</v>
      </c>
      <c r="D25" s="15">
        <v>9.73477585235897</v>
      </c>
      <c r="E25" s="15">
        <v>9.0099672838335625</v>
      </c>
    </row>
    <row r="26" spans="1:6" x14ac:dyDescent="0.25">
      <c r="A26" s="15" t="s">
        <v>5</v>
      </c>
      <c r="B26" s="15" t="s">
        <v>89</v>
      </c>
      <c r="C26" s="15">
        <v>9.4821195071944917</v>
      </c>
      <c r="D26" s="15">
        <v>9.4405588330644132</v>
      </c>
      <c r="E26" s="15">
        <v>8.7802901232329518</v>
      </c>
    </row>
    <row r="27" spans="1:6" x14ac:dyDescent="0.25">
      <c r="A27" s="15" t="s">
        <v>5</v>
      </c>
      <c r="B27" s="15" t="s">
        <v>90</v>
      </c>
      <c r="C27" s="15">
        <v>9.4290575632187235</v>
      </c>
      <c r="D27" s="15">
        <v>9.3900313382247553</v>
      </c>
      <c r="E27" s="15">
        <v>9.0422706215029169</v>
      </c>
    </row>
    <row r="28" spans="1:6" x14ac:dyDescent="0.25">
      <c r="A28" s="15" t="s">
        <v>5</v>
      </c>
      <c r="B28" s="15" t="s">
        <v>91</v>
      </c>
      <c r="C28" s="15">
        <v>9.3572198218687088</v>
      </c>
      <c r="D28" s="15">
        <v>9.3194936964926764</v>
      </c>
      <c r="E28" s="15">
        <v>9.097594738939863</v>
      </c>
    </row>
    <row r="29" spans="1:6" x14ac:dyDescent="0.25">
      <c r="A29" s="9" t="s">
        <v>5</v>
      </c>
      <c r="B29" s="9" t="s">
        <v>86</v>
      </c>
      <c r="C29" s="9">
        <v>9.618210164706996</v>
      </c>
      <c r="D29" s="9">
        <v>9.5667577474522449</v>
      </c>
      <c r="E29" s="9">
        <v>9.0218969275173304</v>
      </c>
      <c r="F29" t="s">
        <v>183</v>
      </c>
    </row>
    <row r="30" spans="1:6" x14ac:dyDescent="0.25">
      <c r="A30" s="9" t="s">
        <v>5</v>
      </c>
      <c r="B30" s="9" t="s">
        <v>87</v>
      </c>
      <c r="C30" s="9">
        <v>9.8070065676587017</v>
      </c>
      <c r="D30" s="9">
        <v>9.7328326970729684</v>
      </c>
      <c r="E30" s="9">
        <v>8.2214300805901512</v>
      </c>
    </row>
    <row r="31" spans="1:6" x14ac:dyDescent="0.25">
      <c r="A31" s="9" t="s">
        <v>5</v>
      </c>
      <c r="B31" s="9" t="s">
        <v>88</v>
      </c>
      <c r="C31" s="9">
        <v>9.3860527650149539</v>
      </c>
      <c r="D31" s="9">
        <v>9.3481637834513869</v>
      </c>
      <c r="E31" s="9">
        <v>8.7066711172629585</v>
      </c>
    </row>
    <row r="32" spans="1:6" x14ac:dyDescent="0.25">
      <c r="A32" s="9" t="s">
        <v>5</v>
      </c>
      <c r="B32" s="9" t="s">
        <v>89</v>
      </c>
      <c r="C32" s="9">
        <v>9.0179151595133717</v>
      </c>
      <c r="D32" s="9">
        <v>8.9286259937824575</v>
      </c>
      <c r="E32" s="9">
        <v>8.9129511744272421</v>
      </c>
    </row>
    <row r="33" spans="1:5" x14ac:dyDescent="0.25">
      <c r="A33" s="9" t="s">
        <v>5</v>
      </c>
      <c r="B33" s="9" t="s">
        <v>90</v>
      </c>
      <c r="C33" s="9">
        <v>9.1422919626813428</v>
      </c>
      <c r="D33" s="9">
        <v>9.0773381007077738</v>
      </c>
      <c r="E33" s="9">
        <v>8.936108429314281</v>
      </c>
    </row>
    <row r="34" spans="1:5" x14ac:dyDescent="0.25">
      <c r="A34" s="9" t="s">
        <v>5</v>
      </c>
      <c r="B34" s="9" t="s">
        <v>91</v>
      </c>
      <c r="C34" s="9">
        <v>9.4076560741470718</v>
      </c>
      <c r="D34" s="9">
        <v>9.3678596074699989</v>
      </c>
      <c r="E34" s="9">
        <v>8.7509258086363797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D46B-9658-4CB9-A86E-9381C8125F19}">
  <dimension ref="A1:E34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148</v>
      </c>
      <c r="C1" t="s">
        <v>2</v>
      </c>
      <c r="D1" t="s">
        <v>142</v>
      </c>
      <c r="E1" t="s">
        <v>143</v>
      </c>
    </row>
    <row r="2" spans="1:5" x14ac:dyDescent="0.25">
      <c r="A2" t="s">
        <v>3</v>
      </c>
      <c r="B2" t="s">
        <v>78</v>
      </c>
      <c r="C2">
        <v>8.2341440282603742</v>
      </c>
      <c r="D2">
        <v>8.1886280846892312</v>
      </c>
      <c r="E2">
        <v>7.8010060921492332</v>
      </c>
    </row>
    <row r="3" spans="1:5" x14ac:dyDescent="0.25">
      <c r="A3" t="s">
        <v>3</v>
      </c>
      <c r="B3" t="s">
        <v>79</v>
      </c>
      <c r="C3">
        <v>8.8919314342223235</v>
      </c>
      <c r="D3">
        <v>8.8073631419576675</v>
      </c>
      <c r="E3">
        <v>8.3420769004355328</v>
      </c>
    </row>
    <row r="4" spans="1:5" x14ac:dyDescent="0.25">
      <c r="A4" t="s">
        <v>3</v>
      </c>
      <c r="B4" t="s">
        <v>82</v>
      </c>
      <c r="C4">
        <v>8.2341440282603742</v>
      </c>
      <c r="D4">
        <v>8.1886280846892312</v>
      </c>
      <c r="E4">
        <v>7.8036145379865518</v>
      </c>
    </row>
    <row r="5" spans="1:5" x14ac:dyDescent="0.25">
      <c r="A5" t="s">
        <v>3</v>
      </c>
      <c r="B5" t="s">
        <v>83</v>
      </c>
      <c r="C5">
        <v>7.8089497229447025</v>
      </c>
      <c r="D5">
        <v>7.7347758523589683</v>
      </c>
      <c r="E5">
        <v>7.7822420381159683</v>
      </c>
    </row>
    <row r="6" spans="1:5" x14ac:dyDescent="0.25">
      <c r="A6" t="s">
        <v>4</v>
      </c>
      <c r="B6" t="s">
        <v>84</v>
      </c>
      <c r="C6">
        <v>8.3572198218687177</v>
      </c>
      <c r="D6">
        <v>8.3194936964926871</v>
      </c>
      <c r="E6">
        <v>7.8218768070207103</v>
      </c>
    </row>
    <row r="7" spans="1:5" x14ac:dyDescent="0.25">
      <c r="A7" t="s">
        <v>4</v>
      </c>
      <c r="B7" t="s">
        <v>3</v>
      </c>
      <c r="C7">
        <v>8.7643612976558138</v>
      </c>
      <c r="D7">
        <v>8.6964437922704736</v>
      </c>
      <c r="E7">
        <v>8.0190586454557842</v>
      </c>
    </row>
    <row r="8" spans="1:5" x14ac:dyDescent="0.25">
      <c r="A8" t="s">
        <v>4</v>
      </c>
      <c r="B8" t="s">
        <v>4</v>
      </c>
      <c r="C8">
        <v>7.9454995545820433</v>
      </c>
      <c r="D8">
        <v>7.8563273221240033</v>
      </c>
      <c r="E8">
        <v>7.484465321548373</v>
      </c>
    </row>
    <row r="9" spans="1:5" x14ac:dyDescent="0.25">
      <c r="A9" t="s">
        <v>4</v>
      </c>
      <c r="B9" t="s">
        <v>6</v>
      </c>
      <c r="C9">
        <v>8.433439308765692</v>
      </c>
      <c r="D9">
        <v>8.3941183312560934</v>
      </c>
      <c r="E9">
        <v>7.5762906186122363</v>
      </c>
    </row>
    <row r="10" spans="1:5" x14ac:dyDescent="0.25">
      <c r="A10" t="s">
        <v>4</v>
      </c>
      <c r="B10" t="s">
        <v>7</v>
      </c>
      <c r="C10">
        <v>8.0198583147993681</v>
      </c>
      <c r="D10">
        <v>7.9305691490684538</v>
      </c>
      <c r="E10">
        <v>7.959097229431511</v>
      </c>
    </row>
    <row r="11" spans="1:5" x14ac:dyDescent="0.25">
      <c r="A11" t="s">
        <v>4</v>
      </c>
      <c r="B11" t="s">
        <v>85</v>
      </c>
      <c r="C11">
        <v>8.4821195071944917</v>
      </c>
      <c r="D11">
        <v>8.4405588330644097</v>
      </c>
      <c r="E11">
        <v>7.8535353114309956</v>
      </c>
    </row>
    <row r="12" spans="1:5" x14ac:dyDescent="0.25">
      <c r="A12" t="s">
        <v>5</v>
      </c>
      <c r="B12" t="s">
        <v>86</v>
      </c>
      <c r="C12">
        <v>9.073130254466049</v>
      </c>
      <c r="D12">
        <v>8.9932665341224087</v>
      </c>
      <c r="E12">
        <v>9.0296265704866769</v>
      </c>
    </row>
    <row r="13" spans="1:5" x14ac:dyDescent="0.25">
      <c r="A13" t="s">
        <v>5</v>
      </c>
      <c r="B13" t="s">
        <v>87</v>
      </c>
      <c r="C13">
        <v>9.4095992294330735</v>
      </c>
      <c r="D13">
        <v>9.3698027627560005</v>
      </c>
      <c r="E13">
        <v>8.5882150418302601</v>
      </c>
    </row>
    <row r="14" spans="1:5" x14ac:dyDescent="0.25">
      <c r="A14" t="s">
        <v>5</v>
      </c>
      <c r="B14" t="s">
        <v>88</v>
      </c>
      <c r="C14">
        <v>9.8089497229447034</v>
      </c>
      <c r="D14">
        <v>9.73477585235897</v>
      </c>
      <c r="E14">
        <v>9.0099672838335625</v>
      </c>
    </row>
    <row r="15" spans="1:5" x14ac:dyDescent="0.25">
      <c r="A15" t="s">
        <v>5</v>
      </c>
      <c r="B15" t="s">
        <v>89</v>
      </c>
      <c r="C15">
        <v>9.4821195071944917</v>
      </c>
      <c r="D15">
        <v>9.4405588330644132</v>
      </c>
      <c r="E15">
        <v>8.7802901232329518</v>
      </c>
    </row>
    <row r="16" spans="1:5" x14ac:dyDescent="0.25">
      <c r="A16" t="s">
        <v>5</v>
      </c>
      <c r="B16" t="s">
        <v>90</v>
      </c>
      <c r="C16">
        <v>9.4290575632187235</v>
      </c>
      <c r="D16">
        <v>9.3900313382247553</v>
      </c>
      <c r="E16">
        <v>9.0422706215029169</v>
      </c>
    </row>
    <row r="17" spans="1:5" x14ac:dyDescent="0.25">
      <c r="A17" t="s">
        <v>5</v>
      </c>
      <c r="B17" t="s">
        <v>91</v>
      </c>
      <c r="C17">
        <v>9.3572198218687088</v>
      </c>
      <c r="D17">
        <v>9.3194936964926764</v>
      </c>
      <c r="E17">
        <v>9.097594738939863</v>
      </c>
    </row>
    <row r="18" spans="1:5" x14ac:dyDescent="0.25">
      <c r="A18" t="s">
        <v>6</v>
      </c>
      <c r="B18" t="s">
        <v>92</v>
      </c>
      <c r="C18">
        <v>8.9943636816220121</v>
      </c>
      <c r="D18">
        <v>8.9049021797530337</v>
      </c>
      <c r="E18">
        <v>8.3688831300769664</v>
      </c>
    </row>
    <row r="19" spans="1:5" x14ac:dyDescent="0.25">
      <c r="A19" t="s">
        <v>6</v>
      </c>
      <c r="B19" t="s">
        <v>93</v>
      </c>
      <c r="C19">
        <v>8.9943636816220121</v>
      </c>
      <c r="D19">
        <v>8.9049021797530337</v>
      </c>
      <c r="E19">
        <v>8.6479740309110671</v>
      </c>
    </row>
    <row r="20" spans="1:5" x14ac:dyDescent="0.25">
      <c r="A20" t="s">
        <v>6</v>
      </c>
      <c r="B20" t="s">
        <v>95</v>
      </c>
      <c r="C20">
        <v>8.75381433874756</v>
      </c>
      <c r="D20">
        <v>8.6875136349547581</v>
      </c>
      <c r="E20">
        <v>8.7286939638031917</v>
      </c>
    </row>
    <row r="21" spans="1:5" x14ac:dyDescent="0.25">
      <c r="A21" t="s">
        <v>6</v>
      </c>
      <c r="B21" t="s">
        <v>96</v>
      </c>
      <c r="C21">
        <v>9.2003075859100498</v>
      </c>
      <c r="D21">
        <v>9.1495116736567876</v>
      </c>
      <c r="E21">
        <v>8.7160140251297094</v>
      </c>
    </row>
    <row r="22" spans="1:5" x14ac:dyDescent="0.25">
      <c r="A22" t="s">
        <v>6</v>
      </c>
      <c r="B22" t="s">
        <v>97</v>
      </c>
      <c r="C22">
        <v>9.2742332965551206</v>
      </c>
      <c r="D22">
        <v>9.2323033137223529</v>
      </c>
      <c r="E22">
        <v>8.7664365835732578</v>
      </c>
    </row>
    <row r="23" spans="1:5" x14ac:dyDescent="0.25">
      <c r="A23" t="s">
        <v>7</v>
      </c>
      <c r="B23" t="s">
        <v>78</v>
      </c>
      <c r="C23">
        <v>8.8879477486695126</v>
      </c>
      <c r="D23">
        <v>8.8036130171770157</v>
      </c>
      <c r="E23">
        <v>8.0678531344129869</v>
      </c>
    </row>
    <row r="24" spans="1:5" x14ac:dyDescent="0.25">
      <c r="A24" t="s">
        <v>7</v>
      </c>
      <c r="B24" t="s">
        <v>79</v>
      </c>
      <c r="C24">
        <v>8.2322008729743708</v>
      </c>
      <c r="D24">
        <v>8.1866849294032296</v>
      </c>
      <c r="E24">
        <v>7.7497722979332098</v>
      </c>
    </row>
    <row r="25" spans="1:5" x14ac:dyDescent="0.25">
      <c r="A25" t="s">
        <v>7</v>
      </c>
      <c r="B25" t="s">
        <v>80</v>
      </c>
      <c r="C25">
        <v>8.4076560741471429</v>
      </c>
      <c r="D25">
        <v>8.36785960747007</v>
      </c>
      <c r="E25">
        <v>7.547630699023073</v>
      </c>
    </row>
    <row r="26" spans="1:5" x14ac:dyDescent="0.25">
      <c r="A26" t="s">
        <v>7</v>
      </c>
      <c r="B26" t="s">
        <v>81</v>
      </c>
      <c r="C26">
        <v>8.551881353564097</v>
      </c>
      <c r="D26">
        <v>8.5058256606117801</v>
      </c>
      <c r="E26">
        <v>7.4915420585084975</v>
      </c>
    </row>
    <row r="27" spans="1:5" x14ac:dyDescent="0.25">
      <c r="A27" t="s">
        <v>7</v>
      </c>
      <c r="B27" t="s">
        <v>82</v>
      </c>
      <c r="C27">
        <v>8.7624181423698122</v>
      </c>
      <c r="D27">
        <v>8.694500636984472</v>
      </c>
      <c r="E27">
        <v>7.9397390854947822</v>
      </c>
    </row>
    <row r="28" spans="1:5" x14ac:dyDescent="0.25">
      <c r="A28" t="s">
        <v>7</v>
      </c>
      <c r="B28" t="s">
        <v>83</v>
      </c>
      <c r="C28">
        <v>8.551881353564097</v>
      </c>
      <c r="D28">
        <v>8.5058256606117801</v>
      </c>
      <c r="E28">
        <v>7.8248753918418315</v>
      </c>
    </row>
    <row r="29" spans="1:5" x14ac:dyDescent="0.25">
      <c r="A29" t="s">
        <v>5</v>
      </c>
      <c r="B29" t="s">
        <v>86</v>
      </c>
      <c r="C29">
        <v>9.618210164706996</v>
      </c>
      <c r="D29">
        <v>9.5667577474522449</v>
      </c>
      <c r="E29">
        <v>9.0218969275173304</v>
      </c>
    </row>
    <row r="30" spans="1:5" x14ac:dyDescent="0.25">
      <c r="A30" t="s">
        <v>5</v>
      </c>
      <c r="B30" t="s">
        <v>87</v>
      </c>
      <c r="C30">
        <v>9.8070065676587017</v>
      </c>
      <c r="D30">
        <v>9.7328326970729684</v>
      </c>
      <c r="E30">
        <v>8.2214300805901512</v>
      </c>
    </row>
    <row r="31" spans="1:5" x14ac:dyDescent="0.25">
      <c r="A31" t="s">
        <v>5</v>
      </c>
      <c r="B31" t="s">
        <v>88</v>
      </c>
      <c r="C31">
        <v>9.3860527650149539</v>
      </c>
      <c r="D31">
        <v>9.3481637834513869</v>
      </c>
      <c r="E31">
        <v>8.7066711172629585</v>
      </c>
    </row>
    <row r="32" spans="1:5" x14ac:dyDescent="0.25">
      <c r="A32" t="s">
        <v>5</v>
      </c>
      <c r="B32" t="s">
        <v>89</v>
      </c>
      <c r="C32">
        <v>9.0179151595133717</v>
      </c>
      <c r="D32">
        <v>8.9286259937824575</v>
      </c>
      <c r="E32">
        <v>8.9129511744272421</v>
      </c>
    </row>
    <row r="33" spans="1:5" x14ac:dyDescent="0.25">
      <c r="A33" t="s">
        <v>5</v>
      </c>
      <c r="B33" t="s">
        <v>90</v>
      </c>
      <c r="C33">
        <v>9.1422919626813428</v>
      </c>
      <c r="D33">
        <v>9.0773381007077738</v>
      </c>
      <c r="E33">
        <v>8.936108429314281</v>
      </c>
    </row>
    <row r="34" spans="1:5" x14ac:dyDescent="0.25">
      <c r="A34" t="s">
        <v>5</v>
      </c>
      <c r="B34" t="s">
        <v>91</v>
      </c>
      <c r="C34">
        <v>9.4076560741470718</v>
      </c>
      <c r="D34">
        <v>9.3678596074699989</v>
      </c>
      <c r="E34">
        <v>8.7509258086363797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1EC3-E13F-4F66-888D-C2421790DF93}">
  <dimension ref="A1:AA81"/>
  <sheetViews>
    <sheetView tabSelected="1" topLeftCell="A84" zoomScale="70" zoomScaleNormal="70" workbookViewId="0">
      <selection activeCell="H35" sqref="H35"/>
    </sheetView>
  </sheetViews>
  <sheetFormatPr defaultRowHeight="15" x14ac:dyDescent="0.25"/>
  <cols>
    <col min="1" max="1" width="15.140625" customWidth="1"/>
    <col min="3" max="3" width="16.85546875" customWidth="1"/>
    <col min="4" max="4" width="12" bestFit="1" customWidth="1"/>
    <col min="6" max="6" width="24.28515625" style="5" customWidth="1"/>
    <col min="15" max="16" width="12" bestFit="1" customWidth="1"/>
  </cols>
  <sheetData>
    <row r="1" spans="1:20" x14ac:dyDescent="0.25">
      <c r="A1" t="s">
        <v>0</v>
      </c>
      <c r="B1" t="s">
        <v>148</v>
      </c>
      <c r="C1" s="5" t="s">
        <v>2</v>
      </c>
      <c r="D1" s="5" t="s">
        <v>142</v>
      </c>
      <c r="E1" t="s">
        <v>143</v>
      </c>
      <c r="F1" s="5" t="s">
        <v>145</v>
      </c>
      <c r="O1" t="s">
        <v>0</v>
      </c>
      <c r="P1" t="s">
        <v>148</v>
      </c>
      <c r="Q1" t="s">
        <v>2</v>
      </c>
      <c r="R1" t="s">
        <v>142</v>
      </c>
      <c r="S1" t="s">
        <v>143</v>
      </c>
      <c r="T1" t="s">
        <v>145</v>
      </c>
    </row>
    <row r="2" spans="1:20" x14ac:dyDescent="0.25">
      <c r="A2" s="23" t="s">
        <v>84</v>
      </c>
      <c r="B2" s="23" t="s">
        <v>92</v>
      </c>
      <c r="C2" s="23">
        <v>9.2761764518411223</v>
      </c>
      <c r="D2" s="23">
        <v>9.2342464690083563</v>
      </c>
      <c r="E2" s="23">
        <v>0</v>
      </c>
      <c r="F2" s="67" t="s">
        <v>146</v>
      </c>
      <c r="H2" t="s">
        <v>172</v>
      </c>
      <c r="O2" t="s">
        <v>3</v>
      </c>
      <c r="P2" t="s">
        <v>78</v>
      </c>
      <c r="Q2">
        <v>8.2341440282603742</v>
      </c>
      <c r="R2">
        <v>8.1886280846892312</v>
      </c>
      <c r="S2">
        <v>7.8010060921492332</v>
      </c>
      <c r="T2" t="s">
        <v>144</v>
      </c>
    </row>
    <row r="3" spans="1:20" x14ac:dyDescent="0.25">
      <c r="A3" s="23" t="s">
        <v>84</v>
      </c>
      <c r="B3" s="23" t="s">
        <v>93</v>
      </c>
      <c r="C3" s="23">
        <v>9.4095992294330735</v>
      </c>
      <c r="D3" s="23">
        <v>9.3698027627560005</v>
      </c>
      <c r="E3" s="23">
        <v>0</v>
      </c>
      <c r="F3" s="67" t="s">
        <v>146</v>
      </c>
      <c r="H3" t="s">
        <v>173</v>
      </c>
      <c r="O3" t="s">
        <v>3</v>
      </c>
      <c r="P3" t="s">
        <v>79</v>
      </c>
      <c r="Q3">
        <v>8.8919314342223235</v>
      </c>
      <c r="R3">
        <v>8.8073631419576675</v>
      </c>
      <c r="S3">
        <v>8.3420769004355328</v>
      </c>
      <c r="T3" t="s">
        <v>147</v>
      </c>
    </row>
    <row r="4" spans="1:20" x14ac:dyDescent="0.25">
      <c r="A4" s="23" t="s">
        <v>84</v>
      </c>
      <c r="B4" s="23" t="s">
        <v>94</v>
      </c>
      <c r="C4" s="23">
        <v>8.8807963700692447</v>
      </c>
      <c r="D4" s="23">
        <v>8.7975390416549448</v>
      </c>
      <c r="E4" s="23">
        <v>0</v>
      </c>
      <c r="F4" s="67" t="s">
        <v>146</v>
      </c>
      <c r="H4" t="s">
        <v>174</v>
      </c>
      <c r="O4" t="s">
        <v>3</v>
      </c>
      <c r="P4" t="s">
        <v>82</v>
      </c>
      <c r="Q4">
        <v>8.2341440282603742</v>
      </c>
      <c r="R4">
        <v>8.1886280846892312</v>
      </c>
      <c r="S4">
        <v>7.8036145379865518</v>
      </c>
    </row>
    <row r="5" spans="1:20" x14ac:dyDescent="0.25">
      <c r="A5" s="23" t="s">
        <v>84</v>
      </c>
      <c r="B5" s="23" t="s">
        <v>95</v>
      </c>
      <c r="C5" s="23">
        <v>9.1442351179673445</v>
      </c>
      <c r="D5" s="23">
        <v>9.0792812559937754</v>
      </c>
      <c r="E5" s="23">
        <v>0</v>
      </c>
      <c r="F5" s="67" t="s">
        <v>146</v>
      </c>
      <c r="H5" t="s">
        <v>175</v>
      </c>
      <c r="O5" t="s">
        <v>3</v>
      </c>
      <c r="P5" t="s">
        <v>83</v>
      </c>
      <c r="Q5">
        <v>7.8089497229447025</v>
      </c>
      <c r="R5">
        <v>7.7347758523589683</v>
      </c>
      <c r="S5">
        <v>7.7822420381159683</v>
      </c>
    </row>
    <row r="6" spans="1:20" x14ac:dyDescent="0.25">
      <c r="A6" s="23" t="s">
        <v>84</v>
      </c>
      <c r="B6" s="23" t="s">
        <v>96</v>
      </c>
      <c r="C6" s="23">
        <v>8.6201533199929941</v>
      </c>
      <c r="D6" s="23">
        <v>8.568700902738243</v>
      </c>
      <c r="E6" s="23">
        <v>0</v>
      </c>
      <c r="F6" s="67" t="s">
        <v>146</v>
      </c>
      <c r="O6" t="s">
        <v>4</v>
      </c>
      <c r="P6" t="s">
        <v>84</v>
      </c>
      <c r="Q6">
        <v>8.3572198218687177</v>
      </c>
      <c r="R6">
        <v>8.3194936964926871</v>
      </c>
      <c r="S6">
        <v>7.8218768070207103</v>
      </c>
    </row>
    <row r="7" spans="1:20" ht="15.75" thickBot="1" x14ac:dyDescent="0.3">
      <c r="A7" s="23" t="s">
        <v>84</v>
      </c>
      <c r="B7" s="23" t="s">
        <v>96</v>
      </c>
      <c r="C7" s="23">
        <v>9.1116674551846319</v>
      </c>
      <c r="D7" s="23">
        <v>9.0403060661856056</v>
      </c>
      <c r="E7" s="23">
        <v>0</v>
      </c>
      <c r="F7" s="67" t="s">
        <v>146</v>
      </c>
      <c r="O7" t="s">
        <v>4</v>
      </c>
      <c r="P7" t="s">
        <v>3</v>
      </c>
      <c r="Q7">
        <v>8.7643612976558138</v>
      </c>
      <c r="R7">
        <v>8.6964437922704736</v>
      </c>
      <c r="S7">
        <v>8.0190586454557842</v>
      </c>
    </row>
    <row r="8" spans="1:20" ht="15.75" thickBot="1" x14ac:dyDescent="0.3">
      <c r="A8" s="46" t="s">
        <v>3</v>
      </c>
      <c r="B8" s="47" t="s">
        <v>80</v>
      </c>
      <c r="C8" s="47">
        <v>5.3645544615178249</v>
      </c>
      <c r="D8" s="47">
        <v>5.3269438826450264</v>
      </c>
      <c r="E8" s="50">
        <v>7.5301897192234764</v>
      </c>
      <c r="F8" s="58" t="s">
        <v>144</v>
      </c>
      <c r="O8" t="s">
        <v>4</v>
      </c>
      <c r="P8" t="s">
        <v>4</v>
      </c>
      <c r="Q8">
        <v>7.9454995545820433</v>
      </c>
      <c r="R8">
        <v>7.8563273221240033</v>
      </c>
      <c r="S8">
        <v>7.484465321548373</v>
      </c>
    </row>
    <row r="9" spans="1:20" ht="15.75" thickBot="1" x14ac:dyDescent="0.3">
      <c r="A9" s="49" t="s">
        <v>3</v>
      </c>
      <c r="B9" s="50" t="s">
        <v>81</v>
      </c>
      <c r="C9" s="50">
        <v>7.2229789086827063</v>
      </c>
      <c r="D9" s="50">
        <v>7.1759008420245616</v>
      </c>
      <c r="E9" s="50">
        <v>7.600886023332543</v>
      </c>
      <c r="F9" s="58" t="s">
        <v>147</v>
      </c>
      <c r="O9" t="s">
        <v>4</v>
      </c>
      <c r="P9" t="s">
        <v>6</v>
      </c>
      <c r="Q9">
        <v>8.433439308765692</v>
      </c>
      <c r="R9">
        <v>8.3941183312560934</v>
      </c>
      <c r="S9">
        <v>7.5762906186122363</v>
      </c>
    </row>
    <row r="10" spans="1:20" x14ac:dyDescent="0.25">
      <c r="A10" s="14" t="s">
        <v>3</v>
      </c>
      <c r="B10" s="14" t="s">
        <v>78</v>
      </c>
      <c r="C10" s="14">
        <v>8.2341440282603742</v>
      </c>
      <c r="D10" s="14">
        <v>8.1886280846892312</v>
      </c>
      <c r="E10" s="14">
        <v>7.8010060921492332</v>
      </c>
      <c r="F10" s="57"/>
      <c r="O10" t="s">
        <v>4</v>
      </c>
      <c r="P10" t="s">
        <v>7</v>
      </c>
      <c r="Q10">
        <v>8.0198583147993681</v>
      </c>
      <c r="R10">
        <v>7.9305691490684538</v>
      </c>
      <c r="S10">
        <v>7.959097229431511</v>
      </c>
    </row>
    <row r="11" spans="1:20" x14ac:dyDescent="0.25">
      <c r="A11" s="14" t="s">
        <v>3</v>
      </c>
      <c r="B11" s="14" t="s">
        <v>79</v>
      </c>
      <c r="C11" s="14">
        <v>8.8919314342223235</v>
      </c>
      <c r="D11" s="14">
        <v>8.8073631419576675</v>
      </c>
      <c r="E11" s="14">
        <v>8.3420769004355328</v>
      </c>
      <c r="F11" s="57"/>
      <c r="O11" t="s">
        <v>4</v>
      </c>
      <c r="P11" t="s">
        <v>85</v>
      </c>
      <c r="Q11">
        <v>8.4821195071944917</v>
      </c>
      <c r="R11">
        <v>8.4405588330644097</v>
      </c>
      <c r="S11">
        <v>7.8535353114309956</v>
      </c>
    </row>
    <row r="12" spans="1:20" x14ac:dyDescent="0.25">
      <c r="A12" s="14" t="s">
        <v>3</v>
      </c>
      <c r="B12" s="14" t="s">
        <v>82</v>
      </c>
      <c r="C12" s="14">
        <v>8.2341440282603742</v>
      </c>
      <c r="D12" s="14">
        <v>8.1886280846892312</v>
      </c>
      <c r="E12" s="14">
        <v>7.8036145379865518</v>
      </c>
      <c r="F12" s="57"/>
      <c r="O12" t="s">
        <v>5</v>
      </c>
      <c r="P12" t="s">
        <v>86</v>
      </c>
      <c r="Q12">
        <v>9.073130254466049</v>
      </c>
      <c r="R12">
        <v>8.9932665341224087</v>
      </c>
      <c r="S12">
        <v>9.0296265704866769</v>
      </c>
    </row>
    <row r="13" spans="1:20" x14ac:dyDescent="0.25">
      <c r="A13" s="14" t="s">
        <v>3</v>
      </c>
      <c r="B13" s="14" t="s">
        <v>83</v>
      </c>
      <c r="C13" s="14">
        <v>7.8089497229447025</v>
      </c>
      <c r="D13" s="14">
        <v>7.7347758523589683</v>
      </c>
      <c r="E13" s="14">
        <v>7.7822420381159683</v>
      </c>
      <c r="F13" s="57"/>
      <c r="O13" t="s">
        <v>5</v>
      </c>
      <c r="P13" t="s">
        <v>87</v>
      </c>
      <c r="Q13">
        <v>9.4095992294330735</v>
      </c>
      <c r="R13">
        <v>9.3698027627560005</v>
      </c>
      <c r="S13">
        <v>8.5882150418302601</v>
      </c>
    </row>
    <row r="14" spans="1:20" x14ac:dyDescent="0.25">
      <c r="A14" s="22" t="s">
        <v>4</v>
      </c>
      <c r="B14" s="22" t="s">
        <v>84</v>
      </c>
      <c r="C14" s="22">
        <v>8.3572198218687177</v>
      </c>
      <c r="D14" s="22">
        <v>8.3194936964926871</v>
      </c>
      <c r="E14" s="22">
        <v>7.8218768070207103</v>
      </c>
      <c r="F14" s="59"/>
      <c r="O14" t="s">
        <v>5</v>
      </c>
      <c r="P14" t="s">
        <v>88</v>
      </c>
      <c r="Q14">
        <v>9.8089497229447034</v>
      </c>
      <c r="R14">
        <v>9.73477585235897</v>
      </c>
      <c r="S14">
        <v>9.0099672838335625</v>
      </c>
    </row>
    <row r="15" spans="1:20" x14ac:dyDescent="0.25">
      <c r="A15" s="22" t="s">
        <v>4</v>
      </c>
      <c r="B15" s="22" t="s">
        <v>3</v>
      </c>
      <c r="C15" s="22">
        <v>8.7643612976558138</v>
      </c>
      <c r="D15" s="22">
        <v>8.6964437922704736</v>
      </c>
      <c r="E15" s="22">
        <v>8.0190586454557842</v>
      </c>
      <c r="F15" s="59"/>
      <c r="O15" t="s">
        <v>5</v>
      </c>
      <c r="P15" t="s">
        <v>89</v>
      </c>
      <c r="Q15">
        <v>9.4821195071944917</v>
      </c>
      <c r="R15">
        <v>9.4405588330644132</v>
      </c>
      <c r="S15">
        <v>8.7802901232329518</v>
      </c>
    </row>
    <row r="16" spans="1:20" x14ac:dyDescent="0.25">
      <c r="A16" s="22" t="s">
        <v>4</v>
      </c>
      <c r="B16" s="22" t="s">
        <v>4</v>
      </c>
      <c r="C16" s="22">
        <v>7.9454995545820433</v>
      </c>
      <c r="D16" s="22">
        <v>7.8563273221240033</v>
      </c>
      <c r="E16" s="22">
        <v>7.484465321548373</v>
      </c>
      <c r="F16" s="59"/>
      <c r="O16" t="s">
        <v>5</v>
      </c>
      <c r="P16" t="s">
        <v>90</v>
      </c>
      <c r="Q16">
        <v>9.4290575632187235</v>
      </c>
      <c r="R16">
        <v>9.3900313382247553</v>
      </c>
      <c r="S16">
        <v>9.0422706215029169</v>
      </c>
    </row>
    <row r="17" spans="1:19" x14ac:dyDescent="0.25">
      <c r="A17" s="22" t="s">
        <v>4</v>
      </c>
      <c r="B17" s="22" t="s">
        <v>6</v>
      </c>
      <c r="C17" s="22">
        <v>8.433439308765692</v>
      </c>
      <c r="D17" s="22">
        <v>8.3941183312560934</v>
      </c>
      <c r="E17" s="22">
        <v>7.5762906186122363</v>
      </c>
      <c r="F17" s="59"/>
      <c r="O17" t="s">
        <v>5</v>
      </c>
      <c r="P17" t="s">
        <v>91</v>
      </c>
      <c r="Q17">
        <v>9.3572198218687088</v>
      </c>
      <c r="R17">
        <v>9.3194936964926764</v>
      </c>
      <c r="S17">
        <v>9.097594738939863</v>
      </c>
    </row>
    <row r="18" spans="1:19" x14ac:dyDescent="0.25">
      <c r="A18" s="22" t="s">
        <v>4</v>
      </c>
      <c r="B18" s="22" t="s">
        <v>7</v>
      </c>
      <c r="C18" s="22">
        <v>8.0198583147993681</v>
      </c>
      <c r="D18" s="22">
        <v>7.9305691490684538</v>
      </c>
      <c r="E18" s="22">
        <v>7.959097229431511</v>
      </c>
      <c r="F18" s="59"/>
      <c r="O18" t="s">
        <v>6</v>
      </c>
      <c r="P18" t="s">
        <v>92</v>
      </c>
      <c r="Q18">
        <v>8.9943636816220121</v>
      </c>
      <c r="R18">
        <v>8.9049021797530337</v>
      </c>
      <c r="S18">
        <v>8.3688831300769664</v>
      </c>
    </row>
    <row r="19" spans="1:19" x14ac:dyDescent="0.25">
      <c r="A19" s="22" t="s">
        <v>4</v>
      </c>
      <c r="B19" s="22" t="s">
        <v>85</v>
      </c>
      <c r="C19" s="22">
        <v>8.4821195071944917</v>
      </c>
      <c r="D19" s="22">
        <v>8.4405588330644097</v>
      </c>
      <c r="E19" s="22">
        <v>7.8535353114309956</v>
      </c>
      <c r="F19" s="59"/>
      <c r="O19" t="s">
        <v>6</v>
      </c>
      <c r="P19" t="s">
        <v>93</v>
      </c>
      <c r="Q19">
        <v>8.9943636816220121</v>
      </c>
      <c r="R19">
        <v>8.9049021797530337</v>
      </c>
      <c r="S19">
        <v>8.6479740309110671</v>
      </c>
    </row>
    <row r="20" spans="1:19" x14ac:dyDescent="0.25">
      <c r="A20" s="29" t="s">
        <v>5</v>
      </c>
      <c r="B20" s="29" t="s">
        <v>86</v>
      </c>
      <c r="C20" s="29">
        <v>9.073130254466049</v>
      </c>
      <c r="D20" s="29">
        <v>8.9932665341224087</v>
      </c>
      <c r="E20" s="29">
        <v>9.0296265704866769</v>
      </c>
      <c r="F20" s="60"/>
      <c r="O20" t="s">
        <v>6</v>
      </c>
      <c r="P20" t="s">
        <v>95</v>
      </c>
      <c r="Q20">
        <v>8.75381433874756</v>
      </c>
      <c r="R20">
        <v>8.6875136349547581</v>
      </c>
      <c r="S20">
        <v>8.7286939638031917</v>
      </c>
    </row>
    <row r="21" spans="1:19" x14ac:dyDescent="0.25">
      <c r="A21" s="29" t="s">
        <v>5</v>
      </c>
      <c r="B21" s="29" t="s">
        <v>87</v>
      </c>
      <c r="C21" s="29">
        <v>9.4095992294330735</v>
      </c>
      <c r="D21" s="29">
        <v>9.3698027627560005</v>
      </c>
      <c r="E21" s="29">
        <v>8.5882150418302601</v>
      </c>
      <c r="F21" s="60"/>
      <c r="O21" t="s">
        <v>6</v>
      </c>
      <c r="P21" t="s">
        <v>96</v>
      </c>
      <c r="Q21">
        <v>9.2003075859100498</v>
      </c>
      <c r="R21">
        <v>9.1495116736567876</v>
      </c>
      <c r="S21">
        <v>8.7160140251297094</v>
      </c>
    </row>
    <row r="22" spans="1:19" x14ac:dyDescent="0.25">
      <c r="A22" s="29" t="s">
        <v>5</v>
      </c>
      <c r="B22" s="29" t="s">
        <v>88</v>
      </c>
      <c r="C22" s="29">
        <v>9.8089497229447034</v>
      </c>
      <c r="D22" s="29">
        <v>9.73477585235897</v>
      </c>
      <c r="E22" s="29">
        <v>9.0099672838335625</v>
      </c>
      <c r="F22" s="60"/>
      <c r="O22" t="s">
        <v>6</v>
      </c>
      <c r="P22" t="s">
        <v>97</v>
      </c>
      <c r="Q22">
        <v>9.2742332965551206</v>
      </c>
      <c r="R22">
        <v>9.2323033137223529</v>
      </c>
      <c r="S22">
        <v>8.7664365835732578</v>
      </c>
    </row>
    <row r="23" spans="1:19" x14ac:dyDescent="0.25">
      <c r="A23" s="29" t="s">
        <v>5</v>
      </c>
      <c r="B23" s="29" t="s">
        <v>89</v>
      </c>
      <c r="C23" s="29">
        <v>9.4821195071944917</v>
      </c>
      <c r="D23" s="29">
        <v>9.4405588330644132</v>
      </c>
      <c r="E23" s="29">
        <v>8.7802901232329518</v>
      </c>
      <c r="F23" s="60"/>
      <c r="O23" t="s">
        <v>7</v>
      </c>
      <c r="P23" t="s">
        <v>78</v>
      </c>
      <c r="Q23">
        <v>8.8879477486695126</v>
      </c>
      <c r="R23">
        <v>8.8036130171770157</v>
      </c>
      <c r="S23">
        <v>8.0678531344129869</v>
      </c>
    </row>
    <row r="24" spans="1:19" x14ac:dyDescent="0.25">
      <c r="A24" s="29" t="s">
        <v>5</v>
      </c>
      <c r="B24" s="29" t="s">
        <v>90</v>
      </c>
      <c r="C24" s="29">
        <v>9.4290575632187235</v>
      </c>
      <c r="D24" s="29">
        <v>9.3900313382247553</v>
      </c>
      <c r="E24" s="29">
        <v>9.0422706215029169</v>
      </c>
      <c r="F24" s="60"/>
      <c r="O24" t="s">
        <v>7</v>
      </c>
      <c r="P24" t="s">
        <v>79</v>
      </c>
      <c r="Q24">
        <v>8.2322008729743708</v>
      </c>
      <c r="R24">
        <v>8.1866849294032296</v>
      </c>
      <c r="S24">
        <v>7.7497722979332098</v>
      </c>
    </row>
    <row r="25" spans="1:19" ht="15.75" thickBot="1" x14ac:dyDescent="0.3">
      <c r="A25" s="29" t="s">
        <v>5</v>
      </c>
      <c r="B25" s="29" t="s">
        <v>91</v>
      </c>
      <c r="C25" s="29">
        <v>9.3572198218687088</v>
      </c>
      <c r="D25" s="29">
        <v>9.3194936964926764</v>
      </c>
      <c r="E25" s="29">
        <v>9.097594738939863</v>
      </c>
      <c r="F25" s="60"/>
      <c r="O25" t="s">
        <v>7</v>
      </c>
      <c r="P25" t="s">
        <v>80</v>
      </c>
      <c r="Q25">
        <v>8.4076560741471429</v>
      </c>
      <c r="R25">
        <v>8.36785960747007</v>
      </c>
      <c r="S25">
        <v>7.547630699023073</v>
      </c>
    </row>
    <row r="26" spans="1:19" ht="15.75" thickBot="1" x14ac:dyDescent="0.3">
      <c r="A26" s="62" t="s">
        <v>6</v>
      </c>
      <c r="B26" s="63" t="s">
        <v>94</v>
      </c>
      <c r="C26" s="63">
        <v>9.1411898739307542</v>
      </c>
      <c r="D26" s="64">
        <v>9.0775675245890675</v>
      </c>
      <c r="E26" s="63">
        <v>7.943033496805481</v>
      </c>
      <c r="F26" s="65" t="s">
        <v>147</v>
      </c>
      <c r="O26" t="s">
        <v>7</v>
      </c>
      <c r="P26" t="s">
        <v>81</v>
      </c>
      <c r="Q26">
        <v>8.551881353564097</v>
      </c>
      <c r="R26">
        <v>8.5058256606117801</v>
      </c>
      <c r="S26">
        <v>7.4915420585084975</v>
      </c>
    </row>
    <row r="27" spans="1:19" x14ac:dyDescent="0.25">
      <c r="A27" s="21" t="s">
        <v>6</v>
      </c>
      <c r="B27" s="21" t="s">
        <v>92</v>
      </c>
      <c r="C27" s="21">
        <v>8.9943636816220121</v>
      </c>
      <c r="D27" s="21">
        <v>8.9049021797530337</v>
      </c>
      <c r="E27" s="21">
        <v>8.3688831300769664</v>
      </c>
      <c r="F27" s="61"/>
      <c r="O27" t="s">
        <v>7</v>
      </c>
      <c r="P27" t="s">
        <v>82</v>
      </c>
      <c r="Q27">
        <v>8.7624181423698122</v>
      </c>
      <c r="R27">
        <v>8.694500636984472</v>
      </c>
      <c r="S27">
        <v>7.9397390854947822</v>
      </c>
    </row>
    <row r="28" spans="1:19" x14ac:dyDescent="0.25">
      <c r="A28" s="21" t="s">
        <v>6</v>
      </c>
      <c r="B28" s="21" t="s">
        <v>93</v>
      </c>
      <c r="C28" s="21">
        <v>8.9943636816220121</v>
      </c>
      <c r="D28" s="21">
        <v>8.9049021797530337</v>
      </c>
      <c r="E28" s="21">
        <v>8.6479740309110671</v>
      </c>
      <c r="F28" s="61"/>
      <c r="O28" t="s">
        <v>7</v>
      </c>
      <c r="P28" t="s">
        <v>83</v>
      </c>
      <c r="Q28">
        <v>8.551881353564097</v>
      </c>
      <c r="R28">
        <v>8.5058256606117801</v>
      </c>
      <c r="S28">
        <v>7.8248753918418315</v>
      </c>
    </row>
    <row r="29" spans="1:19" x14ac:dyDescent="0.25">
      <c r="A29" s="21" t="s">
        <v>6</v>
      </c>
      <c r="B29" s="21" t="s">
        <v>95</v>
      </c>
      <c r="C29" s="21">
        <v>8.75381433874756</v>
      </c>
      <c r="D29" s="21">
        <v>8.6875136349547581</v>
      </c>
      <c r="E29" s="21">
        <v>8.7286939638031917</v>
      </c>
      <c r="F29" s="61"/>
      <c r="O29" t="s">
        <v>5</v>
      </c>
      <c r="P29" t="s">
        <v>86</v>
      </c>
      <c r="Q29">
        <v>9.618210164706996</v>
      </c>
      <c r="R29">
        <v>9.5667577474522449</v>
      </c>
      <c r="S29">
        <v>9.0218969275173304</v>
      </c>
    </row>
    <row r="30" spans="1:19" x14ac:dyDescent="0.25">
      <c r="A30" s="21" t="s">
        <v>6</v>
      </c>
      <c r="B30" s="21" t="s">
        <v>96</v>
      </c>
      <c r="C30" s="21">
        <v>9.2003075859100498</v>
      </c>
      <c r="D30" s="21">
        <v>9.1495116736567876</v>
      </c>
      <c r="E30" s="21">
        <v>8.7160140251297094</v>
      </c>
      <c r="F30" s="61"/>
      <c r="O30" t="s">
        <v>5</v>
      </c>
      <c r="P30" t="s">
        <v>87</v>
      </c>
      <c r="Q30">
        <v>9.8070065676587017</v>
      </c>
      <c r="R30">
        <v>9.7328326970729684</v>
      </c>
      <c r="S30">
        <v>8.2214300805901512</v>
      </c>
    </row>
    <row r="31" spans="1:19" x14ac:dyDescent="0.25">
      <c r="A31" s="21" t="s">
        <v>6</v>
      </c>
      <c r="B31" s="21" t="s">
        <v>97</v>
      </c>
      <c r="C31" s="21">
        <v>9.2742332965551206</v>
      </c>
      <c r="D31" s="21">
        <v>9.2323033137223529</v>
      </c>
      <c r="E31" s="21">
        <v>8.7664365835732578</v>
      </c>
      <c r="F31" s="61"/>
      <c r="O31" t="s">
        <v>5</v>
      </c>
      <c r="P31" t="s">
        <v>88</v>
      </c>
      <c r="Q31">
        <v>9.3860527650149539</v>
      </c>
      <c r="R31">
        <v>9.3481637834513869</v>
      </c>
      <c r="S31">
        <v>8.7066711172629585</v>
      </c>
    </row>
    <row r="32" spans="1:19" x14ac:dyDescent="0.25">
      <c r="A32" s="44" t="s">
        <v>7</v>
      </c>
      <c r="B32" s="44" t="s">
        <v>78</v>
      </c>
      <c r="C32" s="44">
        <v>8.8879477486695126</v>
      </c>
      <c r="D32" s="44">
        <v>8.8036130171770157</v>
      </c>
      <c r="E32" s="44">
        <v>8.0678531344129869</v>
      </c>
      <c r="F32" s="66"/>
      <c r="O32" t="s">
        <v>5</v>
      </c>
      <c r="P32" t="s">
        <v>89</v>
      </c>
      <c r="Q32">
        <v>9.0179151595133717</v>
      </c>
      <c r="R32">
        <v>8.9286259937824575</v>
      </c>
      <c r="S32">
        <v>8.9129511744272421</v>
      </c>
    </row>
    <row r="33" spans="1:27" x14ac:dyDescent="0.25">
      <c r="A33" s="44" t="s">
        <v>7</v>
      </c>
      <c r="B33" s="44" t="s">
        <v>79</v>
      </c>
      <c r="C33" s="44">
        <v>8.2322008729743708</v>
      </c>
      <c r="D33" s="44">
        <v>8.1866849294032296</v>
      </c>
      <c r="E33" s="44">
        <v>7.7497722979332098</v>
      </c>
      <c r="F33" s="66"/>
      <c r="O33" t="s">
        <v>5</v>
      </c>
      <c r="P33" t="s">
        <v>90</v>
      </c>
      <c r="Q33">
        <v>9.1422919626813428</v>
      </c>
      <c r="R33">
        <v>9.0773381007077738</v>
      </c>
      <c r="S33">
        <v>8.936108429314281</v>
      </c>
    </row>
    <row r="34" spans="1:27" x14ac:dyDescent="0.25">
      <c r="A34" s="44" t="s">
        <v>7</v>
      </c>
      <c r="B34" s="44" t="s">
        <v>80</v>
      </c>
      <c r="C34" s="44">
        <v>8.4076560741471429</v>
      </c>
      <c r="D34" s="44">
        <v>8.36785960747007</v>
      </c>
      <c r="E34" s="44">
        <v>7.547630699023073</v>
      </c>
      <c r="F34" s="66"/>
      <c r="O34" t="s">
        <v>5</v>
      </c>
      <c r="P34" t="s">
        <v>91</v>
      </c>
      <c r="Q34">
        <v>9.4076560741470718</v>
      </c>
      <c r="R34">
        <v>9.3678596074699989</v>
      </c>
      <c r="S34">
        <v>8.7509258086363797</v>
      </c>
    </row>
    <row r="35" spans="1:27" x14ac:dyDescent="0.25">
      <c r="A35" s="44" t="s">
        <v>7</v>
      </c>
      <c r="B35" s="44" t="s">
        <v>81</v>
      </c>
      <c r="C35" s="44">
        <v>8.551881353564097</v>
      </c>
      <c r="D35" s="44">
        <v>8.5058256606117801</v>
      </c>
      <c r="E35" s="44">
        <v>7.4915420585084975</v>
      </c>
      <c r="F35" s="66"/>
    </row>
    <row r="36" spans="1:27" x14ac:dyDescent="0.25">
      <c r="A36" s="44" t="s">
        <v>7</v>
      </c>
      <c r="B36" s="44" t="s">
        <v>82</v>
      </c>
      <c r="C36" s="44">
        <v>8.7624181423698122</v>
      </c>
      <c r="D36" s="44">
        <v>8.694500636984472</v>
      </c>
      <c r="E36" s="44">
        <v>7.9397390854947822</v>
      </c>
      <c r="F36" s="66"/>
    </row>
    <row r="37" spans="1:27" x14ac:dyDescent="0.25">
      <c r="A37" s="44" t="s">
        <v>7</v>
      </c>
      <c r="B37" s="44" t="s">
        <v>83</v>
      </c>
      <c r="C37" s="44">
        <v>8.551881353564097</v>
      </c>
      <c r="D37" s="44">
        <v>8.5058256606117801</v>
      </c>
      <c r="E37" s="44">
        <v>7.8248753918418315</v>
      </c>
      <c r="F37" s="66"/>
      <c r="N37" t="s">
        <v>9</v>
      </c>
      <c r="O37" s="2">
        <v>0.05</v>
      </c>
      <c r="Q37" s="6" t="s">
        <v>15</v>
      </c>
      <c r="R37" s="6" t="s">
        <v>16</v>
      </c>
      <c r="S37" s="6" t="s">
        <v>17</v>
      </c>
      <c r="T37" s="6" t="s">
        <v>18</v>
      </c>
      <c r="U37" s="6" t="s">
        <v>19</v>
      </c>
      <c r="V37" s="6" t="s">
        <v>20</v>
      </c>
      <c r="W37" s="6" t="s">
        <v>17</v>
      </c>
      <c r="X37" s="6" t="s">
        <v>18</v>
      </c>
      <c r="Y37" s="6" t="s">
        <v>21</v>
      </c>
      <c r="Z37" s="1"/>
    </row>
    <row r="38" spans="1:27" x14ac:dyDescent="0.25">
      <c r="A38" s="23" t="s">
        <v>85</v>
      </c>
      <c r="B38" s="23" t="s">
        <v>84</v>
      </c>
      <c r="C38" s="23">
        <v>8.7297610410454674</v>
      </c>
      <c r="D38" s="23">
        <v>8.6665504694560109</v>
      </c>
      <c r="E38" s="23">
        <v>0</v>
      </c>
      <c r="F38" s="67" t="s">
        <v>146</v>
      </c>
      <c r="N38" t="s">
        <v>10</v>
      </c>
      <c r="O38" s="3">
        <f>COUNT(Q2:Q34)</f>
        <v>33</v>
      </c>
      <c r="Q38" s="7">
        <v>5</v>
      </c>
      <c r="R38" s="7">
        <f t="array" ref="R38:R62">TREND(S2:S33,Q2:Q33,Q38:Q62)</f>
        <v>5.1757418883589166</v>
      </c>
      <c r="S38" s="7">
        <f>R38-$O$42*U38</f>
        <v>4.350391077330749</v>
      </c>
      <c r="T38" s="18">
        <f>R38+$O$42*U38</f>
        <v>6.0010926993870841</v>
      </c>
      <c r="U38" s="18">
        <f>$O$41*SQRT(1/$O$38+(Q38-$O$39)^2/$O$40)</f>
        <v>0.40468024983432682</v>
      </c>
      <c r="V38" s="18">
        <f>R38</f>
        <v>5.1757418883589166</v>
      </c>
      <c r="W38" s="18">
        <f>V38-$O$42*Y38</f>
        <v>4.1243684858010248</v>
      </c>
      <c r="X38" s="18">
        <f>V38+$O$42*Y38</f>
        <v>6.2271152909168084</v>
      </c>
      <c r="Y38" s="18">
        <f>$O$41*SQRT(1+1/$O$38+(Q38-$O$39)^2/$O$40)</f>
        <v>0.51550206958211064</v>
      </c>
      <c r="Z38" s="1"/>
    </row>
    <row r="39" spans="1:27" x14ac:dyDescent="0.25">
      <c r="A39" s="23" t="s">
        <v>85</v>
      </c>
      <c r="B39" s="23" t="s">
        <v>3</v>
      </c>
      <c r="C39" s="23">
        <v>9.0179151595133717</v>
      </c>
      <c r="D39" s="23">
        <v>8.9286259937824575</v>
      </c>
      <c r="E39" s="23">
        <v>0</v>
      </c>
      <c r="F39" s="67" t="s">
        <v>146</v>
      </c>
      <c r="N39" t="s">
        <v>11</v>
      </c>
      <c r="O39" s="3">
        <f>AVERAGE(Q2:Q34)</f>
        <v>8.8703619376105429</v>
      </c>
      <c r="Q39">
        <f>Q38+0.25</f>
        <v>5.25</v>
      </c>
      <c r="R39">
        <v>5.3785082532999748</v>
      </c>
      <c r="S39">
        <f t="shared" ref="S39:S62" si="0">R39-$O$42*U39</f>
        <v>4.6054296819607101</v>
      </c>
      <c r="T39" s="1">
        <f t="shared" ref="T39:T62" si="1">R39+$O$42*U39</f>
        <v>6.1515868246392396</v>
      </c>
      <c r="U39" s="1">
        <f t="shared" ref="U39:U62" si="2">$O$41*SQRT(1/$O$38+(Q39-$O$39)^2/$O$40)</f>
        <v>0.37905049005938563</v>
      </c>
      <c r="V39" s="1">
        <f t="shared" ref="V39:V62" si="3">R39</f>
        <v>5.3785082532999748</v>
      </c>
      <c r="W39" s="1">
        <f t="shared" ref="W39:W62" si="4">V39-$O$42*Y39</f>
        <v>4.3676509202379528</v>
      </c>
      <c r="X39" s="1">
        <f t="shared" ref="X39:X62" si="5">V39+$O$42*Y39</f>
        <v>6.3893655863619969</v>
      </c>
      <c r="Y39" s="1">
        <f t="shared" ref="Y39:Y62" si="6">$O$41*SQRT(1+1/$O$38+(Q39-$O$39)^2/$O$40)</f>
        <v>0.49563651313409757</v>
      </c>
      <c r="Z39" s="1"/>
      <c r="AA39" s="1"/>
    </row>
    <row r="40" spans="1:27" x14ac:dyDescent="0.25">
      <c r="A40" s="23" t="s">
        <v>85</v>
      </c>
      <c r="B40" s="23" t="s">
        <v>4</v>
      </c>
      <c r="C40" s="23">
        <v>9.1422919626813428</v>
      </c>
      <c r="D40" s="23">
        <v>9.0773381007077738</v>
      </c>
      <c r="E40" s="23">
        <v>0</v>
      </c>
      <c r="F40" s="67" t="s">
        <v>146</v>
      </c>
      <c r="N40" t="s">
        <v>12</v>
      </c>
      <c r="O40" s="3">
        <f>DEVSQ(Q2:Q34)</f>
        <v>9.5071761738805574</v>
      </c>
      <c r="Q40">
        <f t="shared" ref="Q40:Q62" si="7">Q39+0.25</f>
        <v>5.5</v>
      </c>
      <c r="R40">
        <v>5.581274618241034</v>
      </c>
      <c r="S40">
        <f t="shared" si="0"/>
        <v>4.8603903530473742</v>
      </c>
      <c r="T40" s="1">
        <f t="shared" si="1"/>
        <v>6.3021588834346938</v>
      </c>
      <c r="U40" s="1">
        <f t="shared" si="2"/>
        <v>0.35345894211552359</v>
      </c>
      <c r="V40" s="1">
        <f t="shared" si="3"/>
        <v>5.581274618241034</v>
      </c>
      <c r="W40" s="1">
        <f t="shared" si="4"/>
        <v>4.6097520018572942</v>
      </c>
      <c r="X40" s="1">
        <f t="shared" si="5"/>
        <v>6.5527972346247738</v>
      </c>
      <c r="Y40" s="1">
        <f t="shared" si="6"/>
        <v>0.47635018935536405</v>
      </c>
      <c r="Z40" s="1"/>
    </row>
    <row r="41" spans="1:27" x14ac:dyDescent="0.25">
      <c r="A41" s="23" t="s">
        <v>85</v>
      </c>
      <c r="B41" s="23" t="s">
        <v>6</v>
      </c>
      <c r="C41" s="23">
        <v>9.1422919626813428</v>
      </c>
      <c r="D41" s="23">
        <v>9.0773381007077738</v>
      </c>
      <c r="E41" s="23">
        <v>0</v>
      </c>
      <c r="F41" s="67" t="s">
        <v>146</v>
      </c>
      <c r="N41" t="s">
        <v>13</v>
      </c>
      <c r="O41" s="3">
        <f>STEYX(S2:S34,Q2:Q34)</f>
        <v>0.31933724984327477</v>
      </c>
      <c r="Q41">
        <f t="shared" si="7"/>
        <v>5.75</v>
      </c>
      <c r="R41">
        <v>5.7840409831820931</v>
      </c>
      <c r="S41">
        <f t="shared" si="0"/>
        <v>5.1152548437590433</v>
      </c>
      <c r="T41" s="1">
        <f t="shared" si="1"/>
        <v>6.452827122605143</v>
      </c>
      <c r="U41" s="1">
        <f t="shared" si="2"/>
        <v>0.32791455266192021</v>
      </c>
      <c r="V41" s="1">
        <f t="shared" si="3"/>
        <v>5.7840409831820931</v>
      </c>
      <c r="W41" s="1">
        <f t="shared" si="4"/>
        <v>4.8505223863530365</v>
      </c>
      <c r="X41" s="1">
        <f t="shared" si="5"/>
        <v>6.7175595800111498</v>
      </c>
      <c r="Y41" s="1">
        <f t="shared" si="6"/>
        <v>0.45771632370381254</v>
      </c>
      <c r="Z41" s="1"/>
    </row>
    <row r="42" spans="1:27" x14ac:dyDescent="0.25">
      <c r="A42" s="23" t="s">
        <v>85</v>
      </c>
      <c r="B42" s="23" t="s">
        <v>7</v>
      </c>
      <c r="C42" s="23">
        <v>8.8441198531901524</v>
      </c>
      <c r="D42" s="23">
        <v>8.7646559952574794</v>
      </c>
      <c r="E42" s="23">
        <v>0</v>
      </c>
      <c r="F42" s="67" t="s">
        <v>146</v>
      </c>
      <c r="N42" t="s">
        <v>14</v>
      </c>
      <c r="O42" s="4">
        <f>_xlfn.T.INV.2T(O37,O38-2)</f>
        <v>2.0395134463964082</v>
      </c>
      <c r="Q42">
        <f t="shared" si="7"/>
        <v>6</v>
      </c>
      <c r="R42">
        <v>5.9868073481231523</v>
      </c>
      <c r="S42">
        <f t="shared" si="0"/>
        <v>5.3699987822733348</v>
      </c>
      <c r="T42" s="1">
        <f t="shared" si="1"/>
        <v>6.6036159139729698</v>
      </c>
      <c r="U42" s="1">
        <f t="shared" si="2"/>
        <v>0.30242927152044463</v>
      </c>
      <c r="V42" s="1">
        <f t="shared" si="3"/>
        <v>5.9868073481231523</v>
      </c>
      <c r="W42" s="1">
        <f t="shared" si="4"/>
        <v>5.0897929239096875</v>
      </c>
      <c r="X42" s="1">
        <f t="shared" si="5"/>
        <v>6.8838217723366171</v>
      </c>
      <c r="Y42" s="1">
        <f t="shared" si="6"/>
        <v>0.43981785253653921</v>
      </c>
      <c r="Z42" s="1"/>
    </row>
    <row r="43" spans="1:27" x14ac:dyDescent="0.25">
      <c r="A43" s="23" t="s">
        <v>85</v>
      </c>
      <c r="B43" s="23" t="s">
        <v>85</v>
      </c>
      <c r="C43" s="23">
        <v>9.2742332965551206</v>
      </c>
      <c r="D43" s="23">
        <v>9.2323033137223529</v>
      </c>
      <c r="E43" s="23">
        <v>0</v>
      </c>
      <c r="F43" s="67" t="s">
        <v>146</v>
      </c>
      <c r="Q43">
        <f t="shared" si="7"/>
        <v>6.25</v>
      </c>
      <c r="R43">
        <v>6.1895737130642114</v>
      </c>
      <c r="S43">
        <f t="shared" si="0"/>
        <v>5.6245888958631038</v>
      </c>
      <c r="T43" s="1">
        <f t="shared" si="1"/>
        <v>6.754558530265319</v>
      </c>
      <c r="U43" s="1">
        <f t="shared" si="2"/>
        <v>0.27701941274247166</v>
      </c>
      <c r="V43" s="1">
        <f t="shared" si="3"/>
        <v>6.1895737130642114</v>
      </c>
      <c r="W43" s="1">
        <f t="shared" si="4"/>
        <v>5.3273730902338441</v>
      </c>
      <c r="X43" s="1">
        <f t="shared" si="5"/>
        <v>7.0517743358945788</v>
      </c>
      <c r="Y43" s="1">
        <f t="shared" si="6"/>
        <v>0.42274819239548495</v>
      </c>
      <c r="Z43" s="1"/>
    </row>
    <row r="44" spans="1:27" x14ac:dyDescent="0.25">
      <c r="A44" s="45" t="s">
        <v>5</v>
      </c>
      <c r="B44" s="45" t="s">
        <v>86</v>
      </c>
      <c r="C44" s="45">
        <v>9.618210164706996</v>
      </c>
      <c r="D44" s="45">
        <v>9.5667577474522449</v>
      </c>
      <c r="E44" s="45">
        <v>9.0218969275173304</v>
      </c>
      <c r="F44" s="68"/>
      <c r="Q44">
        <f t="shared" si="7"/>
        <v>6.5</v>
      </c>
      <c r="R44">
        <v>6.3923400780052697</v>
      </c>
      <c r="S44">
        <f t="shared" si="0"/>
        <v>5.8789785966195236</v>
      </c>
      <c r="T44" s="1">
        <f t="shared" si="1"/>
        <v>6.9057015593910158</v>
      </c>
      <c r="U44" s="1">
        <f t="shared" si="2"/>
        <v>0.25170781898633654</v>
      </c>
      <c r="V44" s="1">
        <f t="shared" si="3"/>
        <v>6.3923400780052697</v>
      </c>
      <c r="W44" s="1">
        <f t="shared" si="4"/>
        <v>5.5630499714009085</v>
      </c>
      <c r="X44" s="1">
        <f t="shared" si="5"/>
        <v>7.2216301846096309</v>
      </c>
      <c r="Y44" s="1">
        <f t="shared" si="6"/>
        <v>0.40661173775030707</v>
      </c>
      <c r="Z44" s="1"/>
    </row>
    <row r="45" spans="1:27" x14ac:dyDescent="0.25">
      <c r="A45" s="45" t="s">
        <v>5</v>
      </c>
      <c r="B45" s="45" t="s">
        <v>87</v>
      </c>
      <c r="C45" s="45">
        <v>9.8070065676587017</v>
      </c>
      <c r="D45" s="45">
        <v>9.7328326970729684</v>
      </c>
      <c r="E45" s="45">
        <v>8.2214300805901512</v>
      </c>
      <c r="F45" s="68"/>
      <c r="Q45">
        <f t="shared" si="7"/>
        <v>6.75</v>
      </c>
      <c r="R45">
        <v>6.5951064429463289</v>
      </c>
      <c r="S45">
        <f t="shared" si="0"/>
        <v>6.1331006988109271</v>
      </c>
      <c r="T45" s="1">
        <f t="shared" si="1"/>
        <v>7.0571121870817306</v>
      </c>
      <c r="U45" s="1">
        <f t="shared" si="2"/>
        <v>0.22652743229112524</v>
      </c>
      <c r="V45" s="1">
        <f t="shared" si="3"/>
        <v>6.5951064429463289</v>
      </c>
      <c r="W45" s="1">
        <f t="shared" si="4"/>
        <v>5.7965882039840553</v>
      </c>
      <c r="X45" s="1">
        <f t="shared" si="5"/>
        <v>7.3936246819086024</v>
      </c>
      <c r="Y45" s="1">
        <f t="shared" si="6"/>
        <v>0.39152389035393032</v>
      </c>
      <c r="Z45" s="1"/>
    </row>
    <row r="46" spans="1:27" x14ac:dyDescent="0.25">
      <c r="A46" s="45" t="s">
        <v>5</v>
      </c>
      <c r="B46" s="45" t="s">
        <v>88</v>
      </c>
      <c r="C46" s="45">
        <v>9.3860527650149539</v>
      </c>
      <c r="D46" s="45">
        <v>9.3481637834513869</v>
      </c>
      <c r="E46" s="45">
        <v>8.7066711172629585</v>
      </c>
      <c r="F46" s="68"/>
      <c r="Q46">
        <f t="shared" si="7"/>
        <v>7</v>
      </c>
      <c r="R46">
        <v>6.797872807887388</v>
      </c>
      <c r="S46">
        <f t="shared" si="0"/>
        <v>6.3868548827327984</v>
      </c>
      <c r="T46" s="1">
        <f t="shared" si="1"/>
        <v>7.2088907330419776</v>
      </c>
      <c r="U46" s="1">
        <f t="shared" si="2"/>
        <v>0.20152744071426046</v>
      </c>
      <c r="V46" s="1">
        <f t="shared" si="3"/>
        <v>6.797872807887388</v>
      </c>
      <c r="W46" s="1">
        <f t="shared" si="4"/>
        <v>6.0277313889650657</v>
      </c>
      <c r="X46" s="1">
        <f t="shared" si="5"/>
        <v>7.5680142268097104</v>
      </c>
      <c r="Y46" s="1">
        <f t="shared" si="6"/>
        <v>0.37761036598364967</v>
      </c>
      <c r="Z46" s="1"/>
    </row>
    <row r="47" spans="1:27" x14ac:dyDescent="0.25">
      <c r="A47" s="45" t="s">
        <v>5</v>
      </c>
      <c r="B47" s="45" t="s">
        <v>89</v>
      </c>
      <c r="C47" s="45">
        <v>9.0179151595133717</v>
      </c>
      <c r="D47" s="45">
        <v>8.9286259937824575</v>
      </c>
      <c r="E47" s="45">
        <v>8.9129511744272421</v>
      </c>
      <c r="F47" s="68"/>
      <c r="Q47">
        <f t="shared" si="7"/>
        <v>7.25</v>
      </c>
      <c r="R47">
        <v>7.0006391728284472</v>
      </c>
      <c r="S47">
        <f t="shared" si="0"/>
        <v>6.6400850269316081</v>
      </c>
      <c r="T47" s="1">
        <f t="shared" si="1"/>
        <v>7.3611933187252863</v>
      </c>
      <c r="U47" s="1">
        <f t="shared" si="2"/>
        <v>0.17678439263732149</v>
      </c>
      <c r="V47" s="1">
        <f t="shared" si="3"/>
        <v>7.0006391728284472</v>
      </c>
      <c r="W47" s="1">
        <f t="shared" si="4"/>
        <v>6.2562055878360017</v>
      </c>
      <c r="X47" s="1">
        <f t="shared" si="5"/>
        <v>7.7450727578208927</v>
      </c>
      <c r="Y47" s="1">
        <f t="shared" si="6"/>
        <v>0.36500548025695823</v>
      </c>
      <c r="Z47" s="1"/>
    </row>
    <row r="48" spans="1:27" x14ac:dyDescent="0.25">
      <c r="A48" s="45" t="s">
        <v>5</v>
      </c>
      <c r="B48" s="45" t="s">
        <v>90</v>
      </c>
      <c r="C48" s="45">
        <v>9.1422919626813428</v>
      </c>
      <c r="D48" s="45">
        <v>9.0773381007077738</v>
      </c>
      <c r="E48" s="45">
        <v>8.936108429314281</v>
      </c>
      <c r="F48" s="68"/>
      <c r="Q48">
        <f t="shared" si="7"/>
        <v>7.5</v>
      </c>
      <c r="R48">
        <v>7.2034055377695054</v>
      </c>
      <c r="S48">
        <f t="shared" si="0"/>
        <v>6.8925358229545139</v>
      </c>
      <c r="T48" s="1">
        <f t="shared" si="1"/>
        <v>7.5142752525844969</v>
      </c>
      <c r="U48" s="1">
        <f t="shared" si="2"/>
        <v>0.1524234691191976</v>
      </c>
      <c r="V48" s="1">
        <f t="shared" si="3"/>
        <v>7.2034055377695054</v>
      </c>
      <c r="W48" s="1">
        <f t="shared" si="4"/>
        <v>6.4817255186956375</v>
      </c>
      <c r="X48" s="1">
        <f t="shared" si="5"/>
        <v>7.9250855568433733</v>
      </c>
      <c r="Y48" s="1">
        <f t="shared" si="6"/>
        <v>0.35384911060478458</v>
      </c>
      <c r="Z48" s="1"/>
    </row>
    <row r="49" spans="1:26" x14ac:dyDescent="0.25">
      <c r="A49" s="45" t="s">
        <v>5</v>
      </c>
      <c r="B49" s="45" t="s">
        <v>91</v>
      </c>
      <c r="C49" s="45">
        <v>9.4076560741470718</v>
      </c>
      <c r="D49" s="45">
        <v>9.3678596074699989</v>
      </c>
      <c r="E49" s="45">
        <v>8.7509258086363797</v>
      </c>
      <c r="F49" s="68"/>
      <c r="Q49">
        <f t="shared" si="7"/>
        <v>7.75</v>
      </c>
      <c r="R49">
        <v>7.4061719027105646</v>
      </c>
      <c r="S49">
        <f t="shared" si="0"/>
        <v>7.1437642099962551</v>
      </c>
      <c r="T49" s="1">
        <f t="shared" si="1"/>
        <v>7.6685795954248741</v>
      </c>
      <c r="U49" s="1">
        <f t="shared" si="2"/>
        <v>0.12866190864196281</v>
      </c>
      <c r="V49" s="1">
        <f t="shared" si="3"/>
        <v>7.4061719027105646</v>
      </c>
      <c r="W49" s="1">
        <f t="shared" si="4"/>
        <v>6.7040039259863677</v>
      </c>
      <c r="X49" s="1">
        <f t="shared" si="5"/>
        <v>8.1083398794347605</v>
      </c>
      <c r="Y49" s="1">
        <f t="shared" si="6"/>
        <v>0.34428210216747962</v>
      </c>
      <c r="Z49" s="1"/>
    </row>
    <row r="50" spans="1:26" x14ac:dyDescent="0.25">
      <c r="Q50">
        <f t="shared" si="7"/>
        <v>8</v>
      </c>
      <c r="R50">
        <v>7.6089382676516237</v>
      </c>
      <c r="S50">
        <f t="shared" si="0"/>
        <v>7.3929458026374952</v>
      </c>
      <c r="T50" s="1">
        <f t="shared" si="1"/>
        <v>7.8249307326657522</v>
      </c>
      <c r="U50" s="1">
        <f t="shared" si="2"/>
        <v>0.10590391811133353</v>
      </c>
      <c r="V50" s="1">
        <f t="shared" si="3"/>
        <v>7.6089382676516237</v>
      </c>
      <c r="W50" s="1">
        <f t="shared" si="4"/>
        <v>6.9227642261110072</v>
      </c>
      <c r="X50" s="1">
        <f t="shared" si="5"/>
        <v>8.2951123091922412</v>
      </c>
      <c r="Y50" s="1">
        <f t="shared" si="6"/>
        <v>0.33644006748423727</v>
      </c>
      <c r="Z50" s="1"/>
    </row>
    <row r="51" spans="1:26" x14ac:dyDescent="0.25">
      <c r="Q51">
        <f t="shared" si="7"/>
        <v>8.25</v>
      </c>
      <c r="R51">
        <v>7.8117046325926829</v>
      </c>
      <c r="S51">
        <f t="shared" si="0"/>
        <v>7.6384279093121146</v>
      </c>
      <c r="T51" s="1">
        <f t="shared" si="1"/>
        <v>7.9849813558732512</v>
      </c>
      <c r="U51" s="1">
        <f t="shared" si="2"/>
        <v>8.4959833722464101E-2</v>
      </c>
      <c r="V51" s="1">
        <f t="shared" si="3"/>
        <v>7.8117046325926829</v>
      </c>
      <c r="W51" s="1">
        <f t="shared" si="4"/>
        <v>7.1377559007353142</v>
      </c>
      <c r="X51" s="1">
        <f t="shared" si="5"/>
        <v>8.4856533644500516</v>
      </c>
      <c r="Y51" s="1">
        <f t="shared" si="6"/>
        <v>0.33044583895642393</v>
      </c>
      <c r="Z51" s="1"/>
    </row>
    <row r="52" spans="1:26" x14ac:dyDescent="0.25">
      <c r="Q52">
        <f t="shared" si="7"/>
        <v>8.5</v>
      </c>
      <c r="R52">
        <v>8.014470997533742</v>
      </c>
      <c r="S52">
        <f t="shared" si="0"/>
        <v>7.8767247421960356</v>
      </c>
      <c r="T52" s="1">
        <f t="shared" si="1"/>
        <v>8.1522172528714485</v>
      </c>
      <c r="U52" s="1">
        <f t="shared" si="2"/>
        <v>6.7538782635186118E-2</v>
      </c>
      <c r="V52" s="1">
        <f t="shared" si="3"/>
        <v>8.014470997533742</v>
      </c>
      <c r="W52" s="1">
        <f t="shared" si="4"/>
        <v>7.3487712895565904</v>
      </c>
      <c r="X52" s="1">
        <f t="shared" si="5"/>
        <v>8.6801707055108945</v>
      </c>
      <c r="Y52" s="1">
        <f t="shared" si="6"/>
        <v>0.32640123513447222</v>
      </c>
      <c r="Z52" s="1"/>
    </row>
    <row r="53" spans="1:26" x14ac:dyDescent="0.25">
      <c r="Q53">
        <f t="shared" si="7"/>
        <v>8.75</v>
      </c>
      <c r="R53">
        <v>8.2172373624748012</v>
      </c>
      <c r="S53">
        <f t="shared" si="0"/>
        <v>8.1010462740514235</v>
      </c>
      <c r="T53" s="1">
        <f t="shared" si="1"/>
        <v>8.3334284508981789</v>
      </c>
      <c r="U53" s="1">
        <f t="shared" si="2"/>
        <v>5.6970003619576381E-2</v>
      </c>
      <c r="V53" s="1">
        <f t="shared" si="3"/>
        <v>8.2172373624748012</v>
      </c>
      <c r="W53" s="1">
        <f t="shared" si="4"/>
        <v>7.5556616378821335</v>
      </c>
      <c r="X53" s="1">
        <f t="shared" si="5"/>
        <v>8.8788130870674689</v>
      </c>
      <c r="Y53" s="1">
        <f t="shared" si="6"/>
        <v>0.32437919238120166</v>
      </c>
      <c r="Z53" s="1"/>
    </row>
    <row r="54" spans="1:26" x14ac:dyDescent="0.25">
      <c r="Q54">
        <f t="shared" si="7"/>
        <v>9</v>
      </c>
      <c r="R54">
        <v>8.4200037274158603</v>
      </c>
      <c r="S54">
        <f t="shared" si="0"/>
        <v>8.3033682382232623</v>
      </c>
      <c r="T54" s="1">
        <f t="shared" si="1"/>
        <v>8.5366392166084584</v>
      </c>
      <c r="U54" s="1">
        <f t="shared" si="2"/>
        <v>5.7187899103425983E-2</v>
      </c>
      <c r="V54" s="1">
        <f t="shared" si="3"/>
        <v>8.4200037274158603</v>
      </c>
      <c r="W54" s="1">
        <f t="shared" si="4"/>
        <v>7.7583498090563445</v>
      </c>
      <c r="X54" s="1">
        <f t="shared" si="5"/>
        <v>9.0816576457753762</v>
      </c>
      <c r="Y54" s="1">
        <f t="shared" si="6"/>
        <v>0.3244175318032762</v>
      </c>
      <c r="Z54" s="1"/>
    </row>
    <row r="55" spans="1:26" x14ac:dyDescent="0.25">
      <c r="A55" t="s">
        <v>2</v>
      </c>
      <c r="B55" t="s">
        <v>171</v>
      </c>
      <c r="Q55">
        <f t="shared" si="7"/>
        <v>9.25</v>
      </c>
      <c r="R55">
        <v>8.6227700923569195</v>
      </c>
      <c r="S55">
        <f t="shared" si="0"/>
        <v>8.4839016805775547</v>
      </c>
      <c r="T55" s="1">
        <f t="shared" si="1"/>
        <v>8.7616385041362843</v>
      </c>
      <c r="U55" s="1">
        <f t="shared" si="2"/>
        <v>6.8088990550530054E-2</v>
      </c>
      <c r="V55" s="1">
        <f t="shared" si="3"/>
        <v>8.6227700923569195</v>
      </c>
      <c r="W55" s="1">
        <f t="shared" si="4"/>
        <v>7.9568372833352976</v>
      </c>
      <c r="X55" s="1">
        <f t="shared" si="5"/>
        <v>9.2887029013785405</v>
      </c>
      <c r="Y55" s="1">
        <f t="shared" si="6"/>
        <v>0.32651552761186758</v>
      </c>
      <c r="Z55" s="1"/>
    </row>
    <row r="56" spans="1:26" x14ac:dyDescent="0.25">
      <c r="A56" t="s">
        <v>178</v>
      </c>
      <c r="Q56">
        <f t="shared" si="7"/>
        <v>9.5</v>
      </c>
      <c r="R56">
        <v>8.8255364572979786</v>
      </c>
      <c r="S56">
        <f t="shared" si="0"/>
        <v>8.6507732907502533</v>
      </c>
      <c r="T56" s="1">
        <f t="shared" si="1"/>
        <v>9.000299623845704</v>
      </c>
      <c r="U56" s="1">
        <f t="shared" si="2"/>
        <v>8.5688656211859046E-2</v>
      </c>
      <c r="V56" s="1">
        <f t="shared" si="3"/>
        <v>8.8255364572979786</v>
      </c>
      <c r="W56" s="1">
        <f t="shared" si="4"/>
        <v>8.1512040209410337</v>
      </c>
      <c r="X56" s="1">
        <f t="shared" si="5"/>
        <v>9.4998688936549236</v>
      </c>
      <c r="Y56" s="1">
        <f t="shared" si="6"/>
        <v>0.33063397426891911</v>
      </c>
      <c r="Z56" s="1"/>
    </row>
    <row r="57" spans="1:26" x14ac:dyDescent="0.25">
      <c r="A57" t="s">
        <v>179</v>
      </c>
      <c r="F57"/>
      <c r="Q57">
        <f t="shared" si="7"/>
        <v>9.75</v>
      </c>
      <c r="R57">
        <v>9.028302822239036</v>
      </c>
      <c r="S57">
        <f t="shared" si="0"/>
        <v>8.8106401862304828</v>
      </c>
      <c r="T57" s="1">
        <f t="shared" si="1"/>
        <v>9.2459654582475892</v>
      </c>
      <c r="U57" s="1">
        <f t="shared" si="2"/>
        <v>0.10672282469779193</v>
      </c>
      <c r="V57" s="1">
        <f t="shared" si="3"/>
        <v>9.028302822239036</v>
      </c>
      <c r="W57" s="1">
        <f t="shared" si="4"/>
        <v>8.3416012178609069</v>
      </c>
      <c r="X57" s="1">
        <f t="shared" si="5"/>
        <v>9.7150044266171651</v>
      </c>
      <c r="Y57" s="1">
        <f t="shared" si="6"/>
        <v>0.33669873841305337</v>
      </c>
      <c r="Z57" s="1"/>
    </row>
    <row r="58" spans="1:26" ht="16.5" customHeight="1" x14ac:dyDescent="0.25">
      <c r="A58" t="s">
        <v>149</v>
      </c>
      <c r="F58"/>
      <c r="Q58">
        <f t="shared" si="7"/>
        <v>10</v>
      </c>
      <c r="R58">
        <v>9.2310691871800969</v>
      </c>
      <c r="S58">
        <f t="shared" si="0"/>
        <v>8.9668930868467491</v>
      </c>
      <c r="T58" s="1">
        <f t="shared" si="1"/>
        <v>9.4952452875134448</v>
      </c>
      <c r="U58" s="1">
        <f t="shared" si="2"/>
        <v>0.12952898192464318</v>
      </c>
      <c r="V58" s="1">
        <f t="shared" si="3"/>
        <v>9.2310691871800969</v>
      </c>
      <c r="W58" s="1">
        <f t="shared" si="4"/>
        <v>8.5282384235330877</v>
      </c>
      <c r="X58" s="1">
        <f t="shared" si="5"/>
        <v>9.9338999508271062</v>
      </c>
      <c r="Y58" s="1">
        <f t="shared" si="6"/>
        <v>0.34460707522611989</v>
      </c>
      <c r="Z58" s="1"/>
    </row>
    <row r="59" spans="1:26" ht="15.75" thickBot="1" x14ac:dyDescent="0.3">
      <c r="F59"/>
      <c r="Q59">
        <f t="shared" si="7"/>
        <v>10.25</v>
      </c>
      <c r="R59">
        <v>9.4338355521211561</v>
      </c>
      <c r="S59">
        <f t="shared" si="0"/>
        <v>9.1211406033272624</v>
      </c>
      <c r="T59" s="1">
        <f t="shared" si="1"/>
        <v>9.7465305009150498</v>
      </c>
      <c r="U59" s="1">
        <f t="shared" si="2"/>
        <v>0.15331840510607625</v>
      </c>
      <c r="V59" s="1">
        <f t="shared" si="3"/>
        <v>9.4338355521211561</v>
      </c>
      <c r="W59" s="1">
        <f t="shared" si="4"/>
        <v>8.7113674204070151</v>
      </c>
      <c r="X59" s="1">
        <f t="shared" si="5"/>
        <v>10.156303683835297</v>
      </c>
      <c r="Y59" s="1">
        <f t="shared" si="6"/>
        <v>0.35423553249460593</v>
      </c>
      <c r="Z59" s="1"/>
    </row>
    <row r="60" spans="1:26" x14ac:dyDescent="0.25">
      <c r="A60" s="71" t="s">
        <v>150</v>
      </c>
      <c r="B60" s="71"/>
      <c r="F60"/>
      <c r="Q60">
        <f t="shared" si="7"/>
        <v>10.5</v>
      </c>
      <c r="R60">
        <v>9.6366019170622117</v>
      </c>
      <c r="S60">
        <f t="shared" si="0"/>
        <v>9.2741872648255281</v>
      </c>
      <c r="T60" s="1">
        <f t="shared" si="1"/>
        <v>9.9990165692988953</v>
      </c>
      <c r="U60" s="1">
        <f t="shared" si="2"/>
        <v>0.17769662312206369</v>
      </c>
      <c r="V60" s="1">
        <f t="shared" si="3"/>
        <v>9.6366019170622117</v>
      </c>
      <c r="W60" s="1">
        <f t="shared" si="4"/>
        <v>8.8912654490847345</v>
      </c>
      <c r="X60" s="1">
        <f t="shared" si="5"/>
        <v>10.381938385039689</v>
      </c>
      <c r="Y60" s="1">
        <f t="shared" si="6"/>
        <v>0.36544817554128084</v>
      </c>
      <c r="Z60" s="1"/>
    </row>
    <row r="61" spans="1:26" x14ac:dyDescent="0.25">
      <c r="A61" t="s">
        <v>151</v>
      </c>
      <c r="B61">
        <v>0.81501668783417092</v>
      </c>
      <c r="F61"/>
      <c r="Q61">
        <f t="shared" si="7"/>
        <v>10.75</v>
      </c>
      <c r="R61">
        <v>9.8393682820032708</v>
      </c>
      <c r="S61">
        <f t="shared" si="0"/>
        <v>9.4264666478926813</v>
      </c>
      <c r="T61" s="1">
        <f t="shared" si="1"/>
        <v>10.25226991611386</v>
      </c>
      <c r="U61" s="1">
        <f t="shared" si="2"/>
        <v>0.20245104774383371</v>
      </c>
      <c r="V61" s="1">
        <f t="shared" si="3"/>
        <v>9.8393682820032708</v>
      </c>
      <c r="W61" s="1">
        <f t="shared" si="4"/>
        <v>9.0682198982323516</v>
      </c>
      <c r="X61" s="1">
        <f t="shared" si="5"/>
        <v>10.61051666577419</v>
      </c>
      <c r="Y61" s="1">
        <f t="shared" si="6"/>
        <v>0.37810409396096484</v>
      </c>
      <c r="Z61" s="1"/>
    </row>
    <row r="62" spans="1:26" x14ac:dyDescent="0.25">
      <c r="A62" t="s">
        <v>152</v>
      </c>
      <c r="B62">
        <v>0.66425220144818242</v>
      </c>
      <c r="F62"/>
      <c r="Q62" s="8">
        <f t="shared" si="7"/>
        <v>11</v>
      </c>
      <c r="R62" s="8">
        <v>10.04213464694433</v>
      </c>
      <c r="S62" s="8">
        <f t="shared" si="0"/>
        <v>9.5782291944140834</v>
      </c>
      <c r="T62" s="69">
        <f t="shared" si="1"/>
        <v>10.506040099474577</v>
      </c>
      <c r="U62" s="69">
        <f t="shared" si="2"/>
        <v>0.2274588840538983</v>
      </c>
      <c r="V62" s="69">
        <f t="shared" si="3"/>
        <v>10.04213464694433</v>
      </c>
      <c r="W62" s="69">
        <f t="shared" si="4"/>
        <v>9.242515775713418</v>
      </c>
      <c r="X62" s="69">
        <f t="shared" si="5"/>
        <v>10.841753518175242</v>
      </c>
      <c r="Y62" s="69">
        <f t="shared" si="6"/>
        <v>0.39206354468696891</v>
      </c>
      <c r="Z62" s="1"/>
    </row>
    <row r="63" spans="1:26" x14ac:dyDescent="0.25">
      <c r="A63" t="s">
        <v>153</v>
      </c>
      <c r="B63">
        <v>0.65342162730134956</v>
      </c>
      <c r="F63"/>
    </row>
    <row r="64" spans="1:26" x14ac:dyDescent="0.25">
      <c r="A64" t="s">
        <v>154</v>
      </c>
      <c r="B64">
        <v>0.31933724984327461</v>
      </c>
      <c r="F64"/>
    </row>
    <row r="65" spans="1:9" ht="15.75" thickBot="1" x14ac:dyDescent="0.3">
      <c r="A65" s="19" t="s">
        <v>103</v>
      </c>
      <c r="B65" s="19">
        <v>33</v>
      </c>
      <c r="F65"/>
    </row>
    <row r="66" spans="1:9" x14ac:dyDescent="0.25">
      <c r="F66"/>
    </row>
    <row r="67" spans="1:9" ht="15.75" thickBot="1" x14ac:dyDescent="0.3">
      <c r="A67" t="s">
        <v>155</v>
      </c>
      <c r="F67"/>
    </row>
    <row r="68" spans="1:9" x14ac:dyDescent="0.25">
      <c r="A68" s="70"/>
      <c r="B68" s="70" t="s">
        <v>8</v>
      </c>
      <c r="C68" s="70" t="s">
        <v>160</v>
      </c>
      <c r="D68" s="70" t="s">
        <v>161</v>
      </c>
      <c r="E68" s="70" t="s">
        <v>104</v>
      </c>
      <c r="F68" s="70" t="s">
        <v>162</v>
      </c>
    </row>
    <row r="69" spans="1:9" x14ac:dyDescent="0.25">
      <c r="A69" t="s">
        <v>156</v>
      </c>
      <c r="B69">
        <v>1</v>
      </c>
      <c r="C69">
        <v>6.254328440414648</v>
      </c>
      <c r="D69">
        <v>6.254328440414648</v>
      </c>
      <c r="E69">
        <v>61.331208525305115</v>
      </c>
      <c r="F69">
        <v>7.7333190563605065E-9</v>
      </c>
    </row>
    <row r="70" spans="1:9" x14ac:dyDescent="0.25">
      <c r="A70" t="s">
        <v>157</v>
      </c>
      <c r="B70">
        <v>31</v>
      </c>
      <c r="C70">
        <v>3.1612646532614455</v>
      </c>
      <c r="D70">
        <v>0.10197627913746599</v>
      </c>
      <c r="F70"/>
    </row>
    <row r="71" spans="1:9" ht="15.75" thickBot="1" x14ac:dyDescent="0.3">
      <c r="A71" s="19" t="s">
        <v>158</v>
      </c>
      <c r="B71" s="19">
        <v>32</v>
      </c>
      <c r="C71" s="19">
        <v>9.4155930936760939</v>
      </c>
      <c r="D71" s="19"/>
      <c r="E71" s="19"/>
      <c r="F71" s="19"/>
    </row>
    <row r="72" spans="1:9" ht="15.75" thickBot="1" x14ac:dyDescent="0.3">
      <c r="F72"/>
    </row>
    <row r="73" spans="1:9" x14ac:dyDescent="0.25">
      <c r="A73" s="70"/>
      <c r="B73" s="70" t="s">
        <v>163</v>
      </c>
      <c r="C73" s="70" t="s">
        <v>154</v>
      </c>
      <c r="D73" s="70" t="s">
        <v>164</v>
      </c>
      <c r="E73" s="70" t="s">
        <v>165</v>
      </c>
      <c r="F73" s="70" t="s">
        <v>166</v>
      </c>
      <c r="G73" s="70" t="s">
        <v>167</v>
      </c>
      <c r="H73" s="70" t="s">
        <v>168</v>
      </c>
      <c r="I73" s="70" t="s">
        <v>169</v>
      </c>
    </row>
    <row r="74" spans="1:9" x14ac:dyDescent="0.25">
      <c r="A74" t="s">
        <v>159</v>
      </c>
      <c r="B74">
        <v>1.1202797322908751</v>
      </c>
      <c r="C74">
        <v>0.92036220457192497</v>
      </c>
      <c r="D74">
        <v>1.217216142433766</v>
      </c>
      <c r="E74">
        <v>0.23270733429032067</v>
      </c>
      <c r="F74">
        <v>-0.75681135948860767</v>
      </c>
      <c r="G74">
        <v>2.9973708240703578</v>
      </c>
      <c r="H74">
        <v>-0.75681135948860767</v>
      </c>
      <c r="I74">
        <v>2.9973708240703578</v>
      </c>
    </row>
    <row r="75" spans="1:9" ht="15.75" thickBot="1" x14ac:dyDescent="0.3">
      <c r="A75" s="19" t="s">
        <v>170</v>
      </c>
      <c r="B75" s="19">
        <v>0.81108164102177804</v>
      </c>
      <c r="C75" s="19">
        <v>0.10356757557758919</v>
      </c>
      <c r="D75" s="19">
        <v>7.8314244250522611</v>
      </c>
      <c r="E75" s="19">
        <v>7.7333190563604503E-9</v>
      </c>
      <c r="F75" s="19">
        <v>0.59985417802060859</v>
      </c>
      <c r="G75" s="19">
        <v>1.0223091040229475</v>
      </c>
      <c r="H75" s="19">
        <v>0.59985417802060859</v>
      </c>
      <c r="I75" s="19">
        <v>1.0223091040229475</v>
      </c>
    </row>
    <row r="76" spans="1:9" x14ac:dyDescent="0.25">
      <c r="F76"/>
    </row>
    <row r="77" spans="1:9" x14ac:dyDescent="0.25">
      <c r="F77"/>
    </row>
    <row r="78" spans="1:9" x14ac:dyDescent="0.25">
      <c r="F78"/>
    </row>
    <row r="79" spans="1:9" x14ac:dyDescent="0.25">
      <c r="F79"/>
    </row>
    <row r="80" spans="1:9" x14ac:dyDescent="0.25">
      <c r="F80"/>
    </row>
    <row r="81" spans="6:6" x14ac:dyDescent="0.25">
      <c r="F8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5404-79F1-440A-A153-539D0AB5525A}">
  <dimension ref="A1:J93"/>
  <sheetViews>
    <sheetView workbookViewId="0">
      <selection activeCell="I17" sqref="I17"/>
    </sheetView>
  </sheetViews>
  <sheetFormatPr defaultRowHeight="15" x14ac:dyDescent="0.25"/>
  <cols>
    <col min="10" max="10" width="11" bestFit="1" customWidth="1"/>
    <col min="12" max="12" width="12" bestFit="1" customWidth="1"/>
  </cols>
  <sheetData>
    <row r="1" spans="1:10" x14ac:dyDescent="0.25">
      <c r="A1" s="14" t="s">
        <v>0</v>
      </c>
      <c r="B1" s="14" t="s">
        <v>143</v>
      </c>
      <c r="C1" s="14" t="s">
        <v>2</v>
      </c>
    </row>
    <row r="2" spans="1:10" x14ac:dyDescent="0.25">
      <c r="A2" s="14" t="s">
        <v>3</v>
      </c>
      <c r="B2" s="14">
        <v>7.8010060921492332</v>
      </c>
      <c r="C2" s="14">
        <v>8.2341440282603742</v>
      </c>
    </row>
    <row r="3" spans="1:10" x14ac:dyDescent="0.25">
      <c r="A3" s="14" t="s">
        <v>3</v>
      </c>
      <c r="B3" s="14">
        <v>8.3420769004355328</v>
      </c>
      <c r="C3" s="14">
        <v>8.8919314342223235</v>
      </c>
      <c r="H3" t="s">
        <v>177</v>
      </c>
    </row>
    <row r="4" spans="1:10" x14ac:dyDescent="0.25">
      <c r="A4" s="14" t="s">
        <v>3</v>
      </c>
      <c r="B4" s="14">
        <v>7.8036145379865518</v>
      </c>
      <c r="C4" s="14">
        <v>8.2341440282603742</v>
      </c>
    </row>
    <row r="5" spans="1:10" x14ac:dyDescent="0.25">
      <c r="A5" s="14" t="s">
        <v>3</v>
      </c>
      <c r="B5" s="14">
        <v>7.7822420381159683</v>
      </c>
      <c r="C5" s="14">
        <v>7.8089497229447025</v>
      </c>
    </row>
    <row r="6" spans="1:10" x14ac:dyDescent="0.25">
      <c r="A6" s="14" t="s">
        <v>4</v>
      </c>
      <c r="B6" s="14">
        <v>7.8218768070207103</v>
      </c>
      <c r="C6" s="14">
        <v>8.3572198218687177</v>
      </c>
    </row>
    <row r="7" spans="1:10" x14ac:dyDescent="0.25">
      <c r="A7" s="14" t="s">
        <v>4</v>
      </c>
      <c r="B7" s="14">
        <v>8.0190586454557842</v>
      </c>
      <c r="C7" s="14">
        <v>8.7643612976558138</v>
      </c>
    </row>
    <row r="8" spans="1:10" x14ac:dyDescent="0.25">
      <c r="A8" s="14" t="s">
        <v>4</v>
      </c>
      <c r="B8" s="14">
        <v>7.484465321548373</v>
      </c>
      <c r="C8" s="14">
        <v>7.9454995545820433</v>
      </c>
    </row>
    <row r="9" spans="1:10" x14ac:dyDescent="0.25">
      <c r="A9" s="14" t="s">
        <v>4</v>
      </c>
      <c r="B9" s="14">
        <v>7.5762906186122363</v>
      </c>
      <c r="C9" s="14">
        <v>8.433439308765692</v>
      </c>
    </row>
    <row r="10" spans="1:10" x14ac:dyDescent="0.25">
      <c r="A10" s="14" t="s">
        <v>4</v>
      </c>
      <c r="B10" s="14">
        <v>7.959097229431511</v>
      </c>
      <c r="C10" s="14">
        <v>8.0198583147993681</v>
      </c>
    </row>
    <row r="11" spans="1:10" x14ac:dyDescent="0.25">
      <c r="A11" s="14" t="s">
        <v>4</v>
      </c>
      <c r="B11" s="14">
        <v>7.8535353114309956</v>
      </c>
      <c r="C11" s="14">
        <v>8.4821195071944917</v>
      </c>
    </row>
    <row r="12" spans="1:10" x14ac:dyDescent="0.25">
      <c r="A12" s="14" t="s">
        <v>5</v>
      </c>
      <c r="B12" s="14">
        <v>9.0296265704866769</v>
      </c>
      <c r="C12" s="14">
        <v>9.073130254466049</v>
      </c>
    </row>
    <row r="13" spans="1:10" x14ac:dyDescent="0.25">
      <c r="A13" s="14" t="s">
        <v>5</v>
      </c>
      <c r="B13" s="14">
        <v>8.5882150418302601</v>
      </c>
      <c r="C13" s="14">
        <v>9.4095992294330735</v>
      </c>
    </row>
    <row r="14" spans="1:10" x14ac:dyDescent="0.25">
      <c r="A14" s="14" t="s">
        <v>5</v>
      </c>
      <c r="B14" s="14">
        <v>9.0099672838335625</v>
      </c>
      <c r="C14" s="14">
        <v>9.8089497229447034</v>
      </c>
    </row>
    <row r="15" spans="1:10" x14ac:dyDescent="0.25">
      <c r="A15" s="14" t="s">
        <v>5</v>
      </c>
      <c r="B15" s="14">
        <v>8.7802901232329518</v>
      </c>
      <c r="C15" s="14">
        <v>9.4821195071944917</v>
      </c>
    </row>
    <row r="16" spans="1:10" x14ac:dyDescent="0.25">
      <c r="A16" s="14" t="s">
        <v>5</v>
      </c>
      <c r="B16" s="14">
        <v>9.0422706215029169</v>
      </c>
      <c r="C16" s="14">
        <v>9.4290575632187235</v>
      </c>
      <c r="I16" t="s">
        <v>180</v>
      </c>
      <c r="J16">
        <f>1/0.99037</f>
        <v>1.0097236386401043</v>
      </c>
    </row>
    <row r="17" spans="1:10" x14ac:dyDescent="0.25">
      <c r="A17" s="14" t="s">
        <v>5</v>
      </c>
      <c r="B17" s="14">
        <v>9.097594738939863</v>
      </c>
      <c r="C17" s="14">
        <v>9.3572198218687088</v>
      </c>
    </row>
    <row r="18" spans="1:10" x14ac:dyDescent="0.25">
      <c r="A18" s="14" t="s">
        <v>6</v>
      </c>
      <c r="B18" s="14">
        <v>8.3688831300769664</v>
      </c>
      <c r="C18" s="14">
        <v>8.9943636816220121</v>
      </c>
    </row>
    <row r="19" spans="1:10" x14ac:dyDescent="0.25">
      <c r="A19" s="14" t="s">
        <v>6</v>
      </c>
      <c r="B19" s="14">
        <v>8.6479740309110671</v>
      </c>
      <c r="C19" s="14">
        <v>8.9943636816220121</v>
      </c>
      <c r="E19" t="s">
        <v>102</v>
      </c>
      <c r="H19" s="1"/>
      <c r="I19" s="1"/>
      <c r="J19" s="1"/>
    </row>
    <row r="20" spans="1:10" ht="15.75" thickBot="1" x14ac:dyDescent="0.3">
      <c r="A20" s="14" t="s">
        <v>6</v>
      </c>
      <c r="B20" s="14">
        <v>8.7286939638031917</v>
      </c>
      <c r="C20" s="14">
        <v>8.75381433874756</v>
      </c>
    </row>
    <row r="21" spans="1:10" x14ac:dyDescent="0.25">
      <c r="A21" s="14" t="s">
        <v>6</v>
      </c>
      <c r="B21" s="14">
        <v>8.7160140251297094</v>
      </c>
      <c r="C21" s="14">
        <v>9.2003075859100498</v>
      </c>
      <c r="E21" s="70"/>
      <c r="F21" s="70" t="s">
        <v>2</v>
      </c>
      <c r="G21" s="70" t="s">
        <v>143</v>
      </c>
    </row>
    <row r="22" spans="1:10" x14ac:dyDescent="0.25">
      <c r="A22" s="14" t="s">
        <v>6</v>
      </c>
      <c r="B22" s="14">
        <v>8.7664365835732578</v>
      </c>
      <c r="C22" s="14">
        <v>9.2742332965551206</v>
      </c>
      <c r="E22" t="s">
        <v>51</v>
      </c>
      <c r="F22">
        <v>8.8703619376105429</v>
      </c>
      <c r="G22">
        <v>8.3148674491051526</v>
      </c>
    </row>
    <row r="23" spans="1:10" x14ac:dyDescent="0.25">
      <c r="A23" s="14" t="s">
        <v>7</v>
      </c>
      <c r="B23" s="14">
        <v>8.0678531344129869</v>
      </c>
      <c r="C23" s="14">
        <v>8.8879477486695126</v>
      </c>
      <c r="E23" t="s">
        <v>98</v>
      </c>
      <c r="F23">
        <v>0.29709925543376742</v>
      </c>
      <c r="G23">
        <v>0.29423728417737793</v>
      </c>
    </row>
    <row r="24" spans="1:10" x14ac:dyDescent="0.25">
      <c r="A24" s="14" t="s">
        <v>7</v>
      </c>
      <c r="B24" s="14">
        <v>7.7497722979332098</v>
      </c>
      <c r="C24" s="14">
        <v>8.2322008729743708</v>
      </c>
      <c r="E24" t="s">
        <v>103</v>
      </c>
      <c r="F24">
        <v>33</v>
      </c>
      <c r="G24">
        <v>33</v>
      </c>
    </row>
    <row r="25" spans="1:10" x14ac:dyDescent="0.25">
      <c r="A25" s="14" t="s">
        <v>7</v>
      </c>
      <c r="B25" s="14">
        <v>7.547630699023073</v>
      </c>
      <c r="C25" s="14">
        <v>8.4076560741471429</v>
      </c>
      <c r="E25" t="s">
        <v>8</v>
      </c>
      <c r="F25">
        <v>32</v>
      </c>
      <c r="G25">
        <v>32</v>
      </c>
    </row>
    <row r="26" spans="1:10" x14ac:dyDescent="0.25">
      <c r="A26" s="14" t="s">
        <v>7</v>
      </c>
      <c r="B26" s="14">
        <v>7.4915420585084975</v>
      </c>
      <c r="C26" s="14">
        <v>8.551881353564097</v>
      </c>
      <c r="E26" t="s">
        <v>104</v>
      </c>
      <c r="F26">
        <v>1.009726745760283</v>
      </c>
    </row>
    <row r="27" spans="1:10" x14ac:dyDescent="0.25">
      <c r="A27" s="14" t="s">
        <v>7</v>
      </c>
      <c r="B27" s="14">
        <v>7.9397390854947822</v>
      </c>
      <c r="C27" s="14">
        <v>8.7624181423698122</v>
      </c>
      <c r="E27" t="s">
        <v>105</v>
      </c>
      <c r="F27">
        <v>0.48916391581178431</v>
      </c>
    </row>
    <row r="28" spans="1:10" ht="15.75" thickBot="1" x14ac:dyDescent="0.3">
      <c r="A28" s="14" t="s">
        <v>7</v>
      </c>
      <c r="B28" s="14">
        <v>7.8248753918418315</v>
      </c>
      <c r="C28" s="14">
        <v>8.551881353564097</v>
      </c>
      <c r="E28" s="19" t="s">
        <v>106</v>
      </c>
      <c r="F28" s="19">
        <v>1.8044816079040129</v>
      </c>
      <c r="G28" s="19"/>
    </row>
    <row r="29" spans="1:10" x14ac:dyDescent="0.25">
      <c r="A29" s="14" t="s">
        <v>5</v>
      </c>
      <c r="B29" s="14">
        <v>9.0218969275173304</v>
      </c>
      <c r="C29" s="14">
        <v>9.618210164706996</v>
      </c>
    </row>
    <row r="30" spans="1:10" x14ac:dyDescent="0.25">
      <c r="A30" s="14" t="s">
        <v>5</v>
      </c>
      <c r="B30" s="14">
        <v>8.2214300805901512</v>
      </c>
      <c r="C30" s="14">
        <v>9.8070065676587017</v>
      </c>
    </row>
    <row r="31" spans="1:10" x14ac:dyDescent="0.25">
      <c r="A31" s="14" t="s">
        <v>5</v>
      </c>
      <c r="B31" s="14">
        <v>8.7066711172629585</v>
      </c>
      <c r="C31" s="14">
        <v>9.3860527650149539</v>
      </c>
    </row>
    <row r="32" spans="1:10" x14ac:dyDescent="0.25">
      <c r="A32" s="14" t="s">
        <v>5</v>
      </c>
      <c r="B32" s="14">
        <v>8.9129511744272421</v>
      </c>
      <c r="C32" s="14">
        <v>9.0179151595133717</v>
      </c>
    </row>
    <row r="33" spans="1:6" x14ac:dyDescent="0.25">
      <c r="A33" s="14" t="s">
        <v>5</v>
      </c>
      <c r="B33" s="14">
        <v>8.936108429314281</v>
      </c>
      <c r="C33" s="14">
        <v>9.1422919626813428</v>
      </c>
    </row>
    <row r="34" spans="1:6" x14ac:dyDescent="0.25">
      <c r="A34" s="14" t="s">
        <v>5</v>
      </c>
      <c r="B34" s="14">
        <v>8.7509258086363797</v>
      </c>
      <c r="C34" s="14">
        <v>9.4076560741470718</v>
      </c>
    </row>
    <row r="38" spans="1:6" x14ac:dyDescent="0.25">
      <c r="A38" t="s">
        <v>45</v>
      </c>
    </row>
    <row r="39" spans="1:6" x14ac:dyDescent="0.25">
      <c r="A39" s="15" t="s">
        <v>3</v>
      </c>
      <c r="B39" s="15" t="s">
        <v>80</v>
      </c>
      <c r="C39" s="15">
        <v>5.3645544615178249</v>
      </c>
      <c r="D39" s="15">
        <v>5.3269438826450264</v>
      </c>
      <c r="E39">
        <v>7.5301897192234764</v>
      </c>
      <c r="F39" t="s">
        <v>144</v>
      </c>
    </row>
    <row r="40" spans="1:6" x14ac:dyDescent="0.25">
      <c r="A40" t="s">
        <v>3</v>
      </c>
      <c r="B40" t="s">
        <v>81</v>
      </c>
      <c r="C40">
        <v>7.2229789086827063</v>
      </c>
      <c r="D40">
        <v>7.1759008420245616</v>
      </c>
      <c r="E40">
        <v>7.600886023332543</v>
      </c>
      <c r="F40" t="s">
        <v>147</v>
      </c>
    </row>
    <row r="41" spans="1:6" x14ac:dyDescent="0.25">
      <c r="A41" t="s">
        <v>6</v>
      </c>
      <c r="B41" t="s">
        <v>94</v>
      </c>
      <c r="C41">
        <v>9.1411898739307542</v>
      </c>
      <c r="D41">
        <v>9.0775675245890675</v>
      </c>
      <c r="E41">
        <v>7.943033496805481</v>
      </c>
      <c r="F41" t="s">
        <v>147</v>
      </c>
    </row>
    <row r="86" spans="8:10" x14ac:dyDescent="0.25">
      <c r="H86" s="1"/>
      <c r="I86" s="1"/>
      <c r="J86" s="1"/>
    </row>
    <row r="93" spans="8:10" ht="15.75" thickBot="1" x14ac:dyDescent="0.3">
      <c r="H93" s="19"/>
      <c r="I93" s="19"/>
      <c r="J93" s="1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3"/>
  <sheetViews>
    <sheetView topLeftCell="A22" zoomScale="90" zoomScaleNormal="90" workbookViewId="0">
      <selection activeCell="J47" sqref="J47"/>
    </sheetView>
  </sheetViews>
  <sheetFormatPr defaultRowHeight="15" x14ac:dyDescent="0.25"/>
  <cols>
    <col min="3" max="3" width="12.7109375" bestFit="1" customWidth="1"/>
    <col min="4" max="4" width="17.42578125" customWidth="1"/>
    <col min="5" max="5" width="18.28515625" bestFit="1" customWidth="1"/>
    <col min="6" max="6" width="20.28515625" bestFit="1" customWidth="1"/>
    <col min="10" max="10" width="12.7109375" bestFit="1" customWidth="1"/>
    <col min="16" max="16" width="32.5703125" customWidth="1"/>
    <col min="17" max="17" width="27.140625" customWidth="1"/>
  </cols>
  <sheetData>
    <row r="1" spans="1:16" x14ac:dyDescent="0.25">
      <c r="A1" t="s">
        <v>0</v>
      </c>
      <c r="B1" t="s">
        <v>143</v>
      </c>
      <c r="C1" t="s">
        <v>2</v>
      </c>
      <c r="D1" s="10" t="s">
        <v>22</v>
      </c>
      <c r="E1" t="s">
        <v>42</v>
      </c>
      <c r="I1" t="s">
        <v>176</v>
      </c>
      <c r="P1" t="s">
        <v>184</v>
      </c>
    </row>
    <row r="2" spans="1:16" x14ac:dyDescent="0.25">
      <c r="A2" t="s">
        <v>3</v>
      </c>
      <c r="B2">
        <v>7.8010060921492332</v>
      </c>
      <c r="C2">
        <v>8.2341440282603742</v>
      </c>
      <c r="D2" s="11">
        <f>AVERAGE(B2:C2)</f>
        <v>8.0175750602048037</v>
      </c>
      <c r="E2" s="11">
        <f>B2-C2</f>
        <v>-0.43313793611114093</v>
      </c>
    </row>
    <row r="3" spans="1:16" x14ac:dyDescent="0.25">
      <c r="A3" s="16" t="s">
        <v>3</v>
      </c>
      <c r="B3" s="16">
        <v>8.3420769004355328</v>
      </c>
      <c r="C3" s="16">
        <v>8.8919314342223235</v>
      </c>
      <c r="D3" s="17">
        <f t="shared" ref="D3:D34" si="0">AVERAGE(B3:C3)</f>
        <v>8.617004167328929</v>
      </c>
      <c r="E3" s="17">
        <f t="shared" ref="E3:E34" si="1">B3-C3</f>
        <v>-0.54985453378679061</v>
      </c>
    </row>
    <row r="4" spans="1:16" x14ac:dyDescent="0.25">
      <c r="A4" t="s">
        <v>3</v>
      </c>
      <c r="B4">
        <v>7.8036145379865518</v>
      </c>
      <c r="C4">
        <v>8.2341440282603742</v>
      </c>
      <c r="D4" s="11">
        <f t="shared" si="0"/>
        <v>8.0188792831234625</v>
      </c>
      <c r="E4" s="11">
        <f t="shared" si="1"/>
        <v>-0.43052949027382237</v>
      </c>
    </row>
    <row r="5" spans="1:16" x14ac:dyDescent="0.25">
      <c r="A5" t="s">
        <v>3</v>
      </c>
      <c r="B5">
        <v>7.7822420381159683</v>
      </c>
      <c r="C5">
        <v>7.8089497229447025</v>
      </c>
      <c r="D5" s="11">
        <f t="shared" si="0"/>
        <v>7.7955958805303354</v>
      </c>
      <c r="E5" s="11">
        <f t="shared" si="1"/>
        <v>-2.6707684828734202E-2</v>
      </c>
    </row>
    <row r="6" spans="1:16" x14ac:dyDescent="0.25">
      <c r="A6" t="s">
        <v>4</v>
      </c>
      <c r="B6">
        <v>7.8218768070207103</v>
      </c>
      <c r="C6">
        <v>8.3572198218687177</v>
      </c>
      <c r="D6" s="11">
        <f t="shared" si="0"/>
        <v>8.0895483144447144</v>
      </c>
      <c r="E6" s="11">
        <f t="shared" si="1"/>
        <v>-0.53534301484800739</v>
      </c>
    </row>
    <row r="7" spans="1:16" x14ac:dyDescent="0.25">
      <c r="A7" t="s">
        <v>4</v>
      </c>
      <c r="B7">
        <v>8.0190586454557842</v>
      </c>
      <c r="C7">
        <v>8.7643612976558138</v>
      </c>
      <c r="D7" s="11">
        <f t="shared" si="0"/>
        <v>8.3917099715557981</v>
      </c>
      <c r="E7" s="11">
        <f t="shared" si="1"/>
        <v>-0.74530265220002967</v>
      </c>
    </row>
    <row r="8" spans="1:16" x14ac:dyDescent="0.25">
      <c r="A8" t="s">
        <v>4</v>
      </c>
      <c r="B8">
        <v>7.484465321548373</v>
      </c>
      <c r="C8">
        <v>7.9454995545820433</v>
      </c>
      <c r="D8" s="11">
        <f t="shared" si="0"/>
        <v>7.7149824380652081</v>
      </c>
      <c r="E8" s="11">
        <f t="shared" si="1"/>
        <v>-0.4610342330336703</v>
      </c>
    </row>
    <row r="9" spans="1:16" x14ac:dyDescent="0.25">
      <c r="A9" t="s">
        <v>4</v>
      </c>
      <c r="B9">
        <v>7.5762906186122363</v>
      </c>
      <c r="C9">
        <v>8.433439308765692</v>
      </c>
      <c r="D9" s="11">
        <f t="shared" si="0"/>
        <v>8.0048649636889646</v>
      </c>
      <c r="E9" s="11">
        <f t="shared" si="1"/>
        <v>-0.85714869015345574</v>
      </c>
    </row>
    <row r="10" spans="1:16" x14ac:dyDescent="0.25">
      <c r="A10" t="s">
        <v>4</v>
      </c>
      <c r="B10">
        <v>7.959097229431511</v>
      </c>
      <c r="C10">
        <v>8.0198583147993681</v>
      </c>
      <c r="D10" s="11">
        <f t="shared" si="0"/>
        <v>7.9894777721154391</v>
      </c>
      <c r="E10" s="11">
        <f t="shared" si="1"/>
        <v>-6.0761085367857071E-2</v>
      </c>
    </row>
    <row r="11" spans="1:16" x14ac:dyDescent="0.25">
      <c r="A11" t="s">
        <v>4</v>
      </c>
      <c r="B11">
        <v>7.8535353114309956</v>
      </c>
      <c r="C11">
        <v>8.4821195071944917</v>
      </c>
      <c r="D11" s="11">
        <f t="shared" si="0"/>
        <v>8.1678274093127428</v>
      </c>
      <c r="E11" s="11">
        <f t="shared" si="1"/>
        <v>-0.62858419576349611</v>
      </c>
    </row>
    <row r="12" spans="1:16" x14ac:dyDescent="0.25">
      <c r="A12" t="s">
        <v>5</v>
      </c>
      <c r="B12">
        <v>9.0296265704866769</v>
      </c>
      <c r="C12">
        <v>9.073130254466049</v>
      </c>
      <c r="D12" s="11">
        <f t="shared" si="0"/>
        <v>9.0513784124763639</v>
      </c>
      <c r="E12" s="11">
        <f t="shared" si="1"/>
        <v>-4.3503683979372099E-2</v>
      </c>
    </row>
    <row r="13" spans="1:16" x14ac:dyDescent="0.25">
      <c r="A13" t="s">
        <v>5</v>
      </c>
      <c r="B13">
        <v>8.5882150418302601</v>
      </c>
      <c r="C13">
        <v>9.4095992294330735</v>
      </c>
      <c r="D13" s="11">
        <f t="shared" si="0"/>
        <v>8.9989071356316668</v>
      </c>
      <c r="E13" s="11">
        <f t="shared" si="1"/>
        <v>-0.8213841876028134</v>
      </c>
    </row>
    <row r="14" spans="1:16" x14ac:dyDescent="0.25">
      <c r="A14" t="s">
        <v>5</v>
      </c>
      <c r="B14">
        <v>9.0099672838335625</v>
      </c>
      <c r="C14">
        <v>9.8089497229447034</v>
      </c>
      <c r="D14" s="11">
        <f t="shared" si="0"/>
        <v>9.409458503389132</v>
      </c>
      <c r="E14" s="11">
        <f t="shared" si="1"/>
        <v>-0.79898243911114086</v>
      </c>
    </row>
    <row r="15" spans="1:16" x14ac:dyDescent="0.25">
      <c r="A15" t="s">
        <v>5</v>
      </c>
      <c r="B15">
        <v>8.7802901232329518</v>
      </c>
      <c r="C15">
        <v>9.4821195071944917</v>
      </c>
      <c r="D15" s="11">
        <f t="shared" si="0"/>
        <v>9.1312048152137208</v>
      </c>
      <c r="E15" s="11">
        <f t="shared" si="1"/>
        <v>-0.70182938396153993</v>
      </c>
    </row>
    <row r="16" spans="1:16" x14ac:dyDescent="0.25">
      <c r="A16" t="s">
        <v>5</v>
      </c>
      <c r="B16">
        <v>9.0422706215029169</v>
      </c>
      <c r="C16">
        <v>9.4290575632187235</v>
      </c>
      <c r="D16" s="11">
        <f t="shared" si="0"/>
        <v>9.2356640923608211</v>
      </c>
      <c r="E16" s="11">
        <f t="shared" si="1"/>
        <v>-0.38678694171580652</v>
      </c>
    </row>
    <row r="17" spans="1:16" x14ac:dyDescent="0.25">
      <c r="A17" t="s">
        <v>5</v>
      </c>
      <c r="B17">
        <v>9.097594738939863</v>
      </c>
      <c r="C17">
        <v>9.3572198218687088</v>
      </c>
      <c r="D17" s="11">
        <f t="shared" si="0"/>
        <v>9.2274072804042859</v>
      </c>
      <c r="E17" s="11">
        <f t="shared" si="1"/>
        <v>-0.25962508292884579</v>
      </c>
    </row>
    <row r="18" spans="1:16" x14ac:dyDescent="0.25">
      <c r="A18" t="s">
        <v>6</v>
      </c>
      <c r="B18">
        <v>8.3688831300769664</v>
      </c>
      <c r="C18">
        <v>8.9943636816220121</v>
      </c>
      <c r="D18" s="11">
        <f t="shared" si="0"/>
        <v>8.6816234058494892</v>
      </c>
      <c r="E18" s="11">
        <f t="shared" si="1"/>
        <v>-0.62548055154504567</v>
      </c>
    </row>
    <row r="19" spans="1:16" x14ac:dyDescent="0.25">
      <c r="A19" t="s">
        <v>6</v>
      </c>
      <c r="B19">
        <v>8.6479740309110671</v>
      </c>
      <c r="C19">
        <v>8.9943636816220121</v>
      </c>
      <c r="D19" s="11">
        <f t="shared" si="0"/>
        <v>8.8211688562665387</v>
      </c>
      <c r="E19" s="11">
        <f t="shared" si="1"/>
        <v>-0.34638965071094496</v>
      </c>
    </row>
    <row r="20" spans="1:16" x14ac:dyDescent="0.25">
      <c r="A20" t="s">
        <v>6</v>
      </c>
      <c r="B20">
        <v>8.7286939638031917</v>
      </c>
      <c r="C20">
        <v>8.75381433874756</v>
      </c>
      <c r="D20" s="11">
        <f t="shared" si="0"/>
        <v>8.7412541512753759</v>
      </c>
      <c r="E20" s="11">
        <f t="shared" si="1"/>
        <v>-2.5120374944368251E-2</v>
      </c>
    </row>
    <row r="21" spans="1:16" x14ac:dyDescent="0.25">
      <c r="A21" t="s">
        <v>6</v>
      </c>
      <c r="B21">
        <v>8.7160140251297094</v>
      </c>
      <c r="C21">
        <v>9.2003075859100498</v>
      </c>
      <c r="D21" s="11">
        <f t="shared" si="0"/>
        <v>8.9581608055198796</v>
      </c>
      <c r="E21" s="11">
        <f t="shared" si="1"/>
        <v>-0.48429356078034047</v>
      </c>
    </row>
    <row r="22" spans="1:16" x14ac:dyDescent="0.25">
      <c r="A22" t="s">
        <v>6</v>
      </c>
      <c r="B22">
        <v>8.7664365835732578</v>
      </c>
      <c r="C22">
        <v>9.2742332965551206</v>
      </c>
      <c r="D22" s="11">
        <f t="shared" si="0"/>
        <v>9.0203349400641883</v>
      </c>
      <c r="E22" s="11">
        <f t="shared" si="1"/>
        <v>-0.5077967129818628</v>
      </c>
    </row>
    <row r="23" spans="1:16" x14ac:dyDescent="0.25">
      <c r="A23" t="s">
        <v>7</v>
      </c>
      <c r="B23">
        <v>8.0678531344129869</v>
      </c>
      <c r="C23">
        <v>8.8879477486695126</v>
      </c>
      <c r="D23" s="11">
        <f t="shared" si="0"/>
        <v>8.4779004415412498</v>
      </c>
      <c r="E23" s="11">
        <f t="shared" si="1"/>
        <v>-0.82009461425652574</v>
      </c>
      <c r="L23" s="84" t="s">
        <v>76</v>
      </c>
      <c r="M23" s="84"/>
      <c r="N23" s="84"/>
      <c r="O23" s="84"/>
      <c r="P23" s="84"/>
    </row>
    <row r="24" spans="1:16" x14ac:dyDescent="0.25">
      <c r="A24" t="s">
        <v>7</v>
      </c>
      <c r="B24">
        <v>7.7497722979332098</v>
      </c>
      <c r="C24">
        <v>8.2322008729743708</v>
      </c>
      <c r="D24" s="11">
        <f t="shared" si="0"/>
        <v>7.9909865854537898</v>
      </c>
      <c r="E24" s="11">
        <f t="shared" si="1"/>
        <v>-0.48242857504116099</v>
      </c>
      <c r="I24" t="s">
        <v>65</v>
      </c>
      <c r="K24" s="14"/>
      <c r="L24" t="s">
        <v>68</v>
      </c>
      <c r="M24" t="s">
        <v>71</v>
      </c>
      <c r="N24" s="14"/>
      <c r="O24" t="s">
        <v>68</v>
      </c>
      <c r="P24" t="s">
        <v>72</v>
      </c>
    </row>
    <row r="25" spans="1:16" x14ac:dyDescent="0.25">
      <c r="A25" t="s">
        <v>7</v>
      </c>
      <c r="B25">
        <v>7.547630699023073</v>
      </c>
      <c r="C25">
        <v>8.4076560741471429</v>
      </c>
      <c r="D25" s="11">
        <f t="shared" si="0"/>
        <v>7.9776433865851075</v>
      </c>
      <c r="E25" s="11">
        <f t="shared" si="1"/>
        <v>-0.86002537512406985</v>
      </c>
      <c r="I25" t="s">
        <v>15</v>
      </c>
      <c r="J25" t="s">
        <v>16</v>
      </c>
      <c r="K25" s="14"/>
      <c r="L25" t="s">
        <v>15</v>
      </c>
      <c r="M25" t="s">
        <v>16</v>
      </c>
      <c r="N25" s="14"/>
      <c r="O25" t="s">
        <v>15</v>
      </c>
      <c r="P25" t="s">
        <v>16</v>
      </c>
    </row>
    <row r="26" spans="1:16" x14ac:dyDescent="0.25">
      <c r="A26" t="s">
        <v>7</v>
      </c>
      <c r="B26">
        <v>7.4915420585084975</v>
      </c>
      <c r="C26">
        <v>8.551881353564097</v>
      </c>
      <c r="D26" s="11">
        <f t="shared" si="0"/>
        <v>8.0217117060362977</v>
      </c>
      <c r="E26" s="11">
        <f t="shared" si="1"/>
        <v>-1.0603392950555994</v>
      </c>
      <c r="I26">
        <v>6</v>
      </c>
      <c r="J26" s="11">
        <f>E37</f>
        <v>-0.55549448850538885</v>
      </c>
      <c r="K26" s="14"/>
      <c r="L26">
        <v>6</v>
      </c>
      <c r="M26" s="11">
        <f>E95</f>
        <v>-0.35301411846025604</v>
      </c>
      <c r="N26" s="14"/>
      <c r="O26">
        <v>6</v>
      </c>
      <c r="P26" s="11">
        <f>D95</f>
        <v>-0.75797485855052171</v>
      </c>
    </row>
    <row r="27" spans="1:16" x14ac:dyDescent="0.25">
      <c r="A27" t="s">
        <v>7</v>
      </c>
      <c r="B27">
        <v>7.9397390854947822</v>
      </c>
      <c r="C27">
        <v>8.7624181423698122</v>
      </c>
      <c r="D27" s="11">
        <f t="shared" si="0"/>
        <v>8.3510786139322981</v>
      </c>
      <c r="E27" s="11">
        <f t="shared" si="1"/>
        <v>-0.82267905687502996</v>
      </c>
      <c r="I27">
        <v>10</v>
      </c>
      <c r="J27" s="11">
        <f>E37</f>
        <v>-0.55549448850538885</v>
      </c>
      <c r="K27" s="14"/>
      <c r="L27">
        <v>10</v>
      </c>
      <c r="M27" s="11">
        <f>E95</f>
        <v>-0.35301411846025604</v>
      </c>
      <c r="N27" s="14"/>
      <c r="O27">
        <v>10</v>
      </c>
      <c r="P27" s="11">
        <f>D95</f>
        <v>-0.75797485855052171</v>
      </c>
    </row>
    <row r="28" spans="1:16" x14ac:dyDescent="0.25">
      <c r="A28" t="s">
        <v>7</v>
      </c>
      <c r="B28">
        <v>7.8248753918418315</v>
      </c>
      <c r="C28">
        <v>8.551881353564097</v>
      </c>
      <c r="D28" s="11">
        <f t="shared" si="0"/>
        <v>8.1883783727029638</v>
      </c>
      <c r="E28" s="11">
        <f t="shared" si="1"/>
        <v>-0.7270059617222655</v>
      </c>
      <c r="K28" s="14"/>
      <c r="N28" s="14"/>
    </row>
    <row r="29" spans="1:16" ht="15.75" thickBot="1" x14ac:dyDescent="0.3">
      <c r="A29" t="s">
        <v>5</v>
      </c>
      <c r="B29">
        <v>9.0218969275173304</v>
      </c>
      <c r="C29">
        <v>9.618210164706996</v>
      </c>
      <c r="D29" s="11">
        <f t="shared" si="0"/>
        <v>9.3200535461121632</v>
      </c>
      <c r="E29" s="11">
        <f t="shared" si="1"/>
        <v>-0.59631323718966556</v>
      </c>
      <c r="I29" t="s">
        <v>66</v>
      </c>
      <c r="K29" s="14"/>
      <c r="L29" t="s">
        <v>69</v>
      </c>
      <c r="M29" t="s">
        <v>74</v>
      </c>
      <c r="N29" s="14"/>
      <c r="O29" t="s">
        <v>69</v>
      </c>
      <c r="P29" t="s">
        <v>75</v>
      </c>
    </row>
    <row r="30" spans="1:16" ht="15.75" thickBot="1" x14ac:dyDescent="0.3">
      <c r="A30" s="75" t="s">
        <v>5</v>
      </c>
      <c r="B30" s="25">
        <v>8.2214300805901512</v>
      </c>
      <c r="C30" s="25">
        <v>9.8070065676587017</v>
      </c>
      <c r="D30" s="76">
        <f t="shared" si="0"/>
        <v>9.0142183241244265</v>
      </c>
      <c r="E30" s="77">
        <f t="shared" si="1"/>
        <v>-1.5855764870685505</v>
      </c>
      <c r="K30" s="14"/>
      <c r="N30" s="14"/>
    </row>
    <row r="31" spans="1:16" x14ac:dyDescent="0.25">
      <c r="A31" t="s">
        <v>5</v>
      </c>
      <c r="B31">
        <v>8.7066711172629585</v>
      </c>
      <c r="C31">
        <v>9.3860527650149539</v>
      </c>
      <c r="D31" s="11">
        <f t="shared" si="0"/>
        <v>9.0463619411389562</v>
      </c>
      <c r="E31" s="11">
        <f t="shared" si="1"/>
        <v>-0.67938164775199539</v>
      </c>
      <c r="I31" t="s">
        <v>15</v>
      </c>
      <c r="J31" t="s">
        <v>16</v>
      </c>
      <c r="K31" s="14"/>
      <c r="L31" t="s">
        <v>15</v>
      </c>
      <c r="M31" t="s">
        <v>16</v>
      </c>
      <c r="N31" s="14"/>
      <c r="O31" t="s">
        <v>15</v>
      </c>
      <c r="P31" t="s">
        <v>16</v>
      </c>
    </row>
    <row r="32" spans="1:16" x14ac:dyDescent="0.25">
      <c r="A32" t="s">
        <v>5</v>
      </c>
      <c r="B32">
        <v>8.9129511744272421</v>
      </c>
      <c r="C32">
        <v>9.0179151595133717</v>
      </c>
      <c r="D32" s="11">
        <f t="shared" si="0"/>
        <v>8.9654331669703069</v>
      </c>
      <c r="E32" s="11">
        <f t="shared" si="1"/>
        <v>-0.1049639850861297</v>
      </c>
      <c r="I32">
        <v>6</v>
      </c>
      <c r="J32" s="10">
        <f>E41</f>
        <v>-1.2037570034962766</v>
      </c>
      <c r="K32" s="14"/>
      <c r="L32">
        <v>6</v>
      </c>
      <c r="M32" s="11">
        <f>E96</f>
        <v>-1.0012766334511438</v>
      </c>
      <c r="N32" s="14"/>
      <c r="O32">
        <v>6</v>
      </c>
      <c r="P32" s="11">
        <f>D96</f>
        <v>-1.4062373735414093</v>
      </c>
    </row>
    <row r="33" spans="1:16" x14ac:dyDescent="0.25">
      <c r="A33" t="s">
        <v>5</v>
      </c>
      <c r="B33">
        <v>8.936108429314281</v>
      </c>
      <c r="C33">
        <v>9.1422919626813428</v>
      </c>
      <c r="D33" s="11">
        <f t="shared" si="0"/>
        <v>9.039200195997811</v>
      </c>
      <c r="E33" s="11">
        <f t="shared" si="1"/>
        <v>-0.20618353336706186</v>
      </c>
      <c r="I33">
        <v>10</v>
      </c>
      <c r="J33" s="10">
        <f>E41</f>
        <v>-1.2037570034962766</v>
      </c>
      <c r="K33" s="14"/>
      <c r="L33">
        <v>10</v>
      </c>
      <c r="M33" s="11">
        <f>E96</f>
        <v>-1.0012766334511438</v>
      </c>
      <c r="N33" s="14"/>
      <c r="O33">
        <v>10</v>
      </c>
      <c r="P33" s="11">
        <f>D96</f>
        <v>-1.4062373735414093</v>
      </c>
    </row>
    <row r="34" spans="1:16" x14ac:dyDescent="0.25">
      <c r="A34" t="s">
        <v>5</v>
      </c>
      <c r="B34">
        <v>8.7509258086363797</v>
      </c>
      <c r="C34">
        <v>9.4076560741470718</v>
      </c>
      <c r="D34" s="11">
        <f t="shared" si="0"/>
        <v>9.0792909413917258</v>
      </c>
      <c r="E34" s="11">
        <f t="shared" si="1"/>
        <v>-0.65673026551069213</v>
      </c>
      <c r="K34" s="14"/>
      <c r="N34" s="14"/>
    </row>
    <row r="35" spans="1:16" x14ac:dyDescent="0.25">
      <c r="D35" s="11"/>
      <c r="E35" s="11"/>
      <c r="K35" s="14"/>
      <c r="N35" s="14"/>
    </row>
    <row r="36" spans="1:16" x14ac:dyDescent="0.25">
      <c r="D36" s="11"/>
      <c r="E36" s="11"/>
      <c r="F36" s="81" t="s">
        <v>185</v>
      </c>
      <c r="I36" t="s">
        <v>67</v>
      </c>
      <c r="K36" s="14"/>
      <c r="L36" t="s">
        <v>70</v>
      </c>
      <c r="M36" t="s">
        <v>73</v>
      </c>
      <c r="N36" s="14"/>
      <c r="O36" t="s">
        <v>70</v>
      </c>
      <c r="P36" t="s">
        <v>77</v>
      </c>
    </row>
    <row r="37" spans="1:16" x14ac:dyDescent="0.25">
      <c r="C37" t="s">
        <v>23</v>
      </c>
      <c r="D37" s="11"/>
      <c r="E37" s="11">
        <f>AVERAGE(E2:E34)</f>
        <v>-0.55549448850538885</v>
      </c>
      <c r="F37" s="82">
        <f>10^0.5555</f>
        <v>3.5933539675538988</v>
      </c>
      <c r="I37" t="s">
        <v>15</v>
      </c>
      <c r="J37" t="s">
        <v>16</v>
      </c>
      <c r="K37" s="14"/>
      <c r="L37" t="s">
        <v>15</v>
      </c>
      <c r="M37" t="s">
        <v>16</v>
      </c>
      <c r="N37" s="14"/>
      <c r="O37" t="s">
        <v>15</v>
      </c>
      <c r="P37" t="s">
        <v>16</v>
      </c>
    </row>
    <row r="38" spans="1:16" x14ac:dyDescent="0.25">
      <c r="C38" t="s">
        <v>24</v>
      </c>
      <c r="D38" s="11"/>
      <c r="E38" s="11">
        <f>_xlfn.STDEV.S(E2:E34)</f>
        <v>0.3307461811177998</v>
      </c>
      <c r="F38" s="81">
        <f>10^0.3307</f>
        <v>2.1414108558785827</v>
      </c>
      <c r="I38">
        <v>6</v>
      </c>
      <c r="J38" s="10">
        <f>E42</f>
        <v>9.2768026485498756E-2</v>
      </c>
      <c r="K38" s="14"/>
      <c r="L38">
        <v>6</v>
      </c>
      <c r="M38" s="11">
        <f>E97</f>
        <v>0.29524839653063156</v>
      </c>
      <c r="N38" s="14"/>
      <c r="O38">
        <v>6</v>
      </c>
      <c r="P38" s="11">
        <f>D97</f>
        <v>-0.10971234355963405</v>
      </c>
    </row>
    <row r="39" spans="1:16" x14ac:dyDescent="0.25">
      <c r="C39" t="s">
        <v>25</v>
      </c>
      <c r="E39" s="11">
        <f>E38^2</f>
        <v>0.10939303632400843</v>
      </c>
      <c r="I39">
        <v>10</v>
      </c>
      <c r="J39" s="10">
        <f>E42</f>
        <v>9.2768026485498756E-2</v>
      </c>
      <c r="K39" s="14"/>
      <c r="L39">
        <v>10</v>
      </c>
      <c r="M39" s="11">
        <f>E97</f>
        <v>0.29524839653063156</v>
      </c>
      <c r="N39" s="14"/>
      <c r="O39">
        <v>10</v>
      </c>
      <c r="P39" s="11">
        <f>D97</f>
        <v>-0.10971234355963405</v>
      </c>
    </row>
    <row r="41" spans="1:16" x14ac:dyDescent="0.25">
      <c r="C41" t="s">
        <v>43</v>
      </c>
      <c r="E41" s="10">
        <f>E37-((1.96)*(E38))</f>
        <v>-1.2037570034962766</v>
      </c>
    </row>
    <row r="42" spans="1:16" x14ac:dyDescent="0.25">
      <c r="C42" t="s">
        <v>44</v>
      </c>
      <c r="E42" s="10">
        <f>E37+((1.96*E38))</f>
        <v>9.2768026485498756E-2</v>
      </c>
    </row>
    <row r="43" spans="1:16" x14ac:dyDescent="0.25">
      <c r="A43" t="s">
        <v>45</v>
      </c>
      <c r="C43" t="s">
        <v>1</v>
      </c>
      <c r="D43" t="s">
        <v>2</v>
      </c>
      <c r="E43" t="s">
        <v>22</v>
      </c>
      <c r="F43" t="s">
        <v>42</v>
      </c>
    </row>
    <row r="44" spans="1:16" x14ac:dyDescent="0.25">
      <c r="A44" s="72" t="s">
        <v>3</v>
      </c>
      <c r="B44" s="72" t="s">
        <v>80</v>
      </c>
      <c r="C44" s="72">
        <v>7.5301897192234764</v>
      </c>
      <c r="D44" s="72">
        <v>5.3645544615178249</v>
      </c>
      <c r="E44">
        <f>AVERAGE(C44:D44)</f>
        <v>6.4473720903706511</v>
      </c>
      <c r="F44">
        <f>C44-D44</f>
        <v>2.1656352577056515</v>
      </c>
      <c r="G44" s="14" t="s">
        <v>144</v>
      </c>
    </row>
    <row r="45" spans="1:16" x14ac:dyDescent="0.25">
      <c r="A45" s="72" t="s">
        <v>3</v>
      </c>
      <c r="B45" s="72" t="s">
        <v>81</v>
      </c>
      <c r="C45" s="72">
        <v>7.600886023332543</v>
      </c>
      <c r="D45" s="72">
        <v>7.2229789086827063</v>
      </c>
      <c r="E45">
        <f t="shared" ref="E45:E46" si="2">AVERAGE(C45:D45)</f>
        <v>7.4119324660076247</v>
      </c>
      <c r="F45">
        <f t="shared" ref="F45:F46" si="3">C45-D45</f>
        <v>0.37790711464983673</v>
      </c>
      <c r="G45" s="14" t="s">
        <v>147</v>
      </c>
      <c r="M45" s="10" t="s">
        <v>37</v>
      </c>
      <c r="N45" t="s">
        <v>38</v>
      </c>
    </row>
    <row r="46" spans="1:16" x14ac:dyDescent="0.25">
      <c r="A46" s="72" t="s">
        <v>6</v>
      </c>
      <c r="B46" s="72" t="s">
        <v>94</v>
      </c>
      <c r="C46" s="72">
        <v>7.943033496805481</v>
      </c>
      <c r="D46" s="72">
        <v>9.1411898739307542</v>
      </c>
      <c r="E46">
        <f t="shared" si="2"/>
        <v>8.542111685368118</v>
      </c>
      <c r="F46">
        <f t="shared" si="3"/>
        <v>-1.1981563771252732</v>
      </c>
      <c r="G46" s="57" t="s">
        <v>147</v>
      </c>
      <c r="K46" t="s">
        <v>39</v>
      </c>
      <c r="L46" s="11">
        <v>-0.55549448850538885</v>
      </c>
      <c r="M46" s="11">
        <v>-0.75797485855052171</v>
      </c>
      <c r="N46" s="11">
        <v>-0.35301411846025604</v>
      </c>
    </row>
    <row r="47" spans="1:16" x14ac:dyDescent="0.25">
      <c r="A47" s="12" t="s">
        <v>26</v>
      </c>
      <c r="K47" t="s">
        <v>40</v>
      </c>
      <c r="L47" s="11">
        <v>-1.2037570034962766</v>
      </c>
      <c r="M47" s="11">
        <v>-1.4062373735414093</v>
      </c>
      <c r="N47" s="11">
        <v>-1.0012766334511438</v>
      </c>
    </row>
    <row r="48" spans="1:16" x14ac:dyDescent="0.25">
      <c r="K48" t="s">
        <v>41</v>
      </c>
      <c r="L48" s="10">
        <v>9.2768026485498756E-2</v>
      </c>
      <c r="M48" s="11">
        <v>-0.10971234355963405</v>
      </c>
      <c r="N48" s="11">
        <v>0.29524839653063156</v>
      </c>
    </row>
    <row r="50" spans="1:8" x14ac:dyDescent="0.25">
      <c r="A50" t="s">
        <v>46</v>
      </c>
    </row>
    <row r="51" spans="1:8" x14ac:dyDescent="0.25">
      <c r="A51" t="s">
        <v>47</v>
      </c>
    </row>
    <row r="53" spans="1:8" ht="15.75" thickBot="1" x14ac:dyDescent="0.3">
      <c r="A53" t="s">
        <v>48</v>
      </c>
      <c r="D53" t="s">
        <v>49</v>
      </c>
      <c r="E53">
        <v>0.05</v>
      </c>
    </row>
    <row r="54" spans="1:8" ht="15.75" thickTop="1" x14ac:dyDescent="0.25">
      <c r="A54" s="13" t="s">
        <v>50</v>
      </c>
      <c r="B54" s="13" t="s">
        <v>51</v>
      </c>
      <c r="C54" s="13" t="s">
        <v>52</v>
      </c>
      <c r="D54" s="13" t="s">
        <v>53</v>
      </c>
      <c r="E54" s="13" t="s">
        <v>54</v>
      </c>
      <c r="F54" s="13" t="s">
        <v>8</v>
      </c>
      <c r="G54" s="13" t="s">
        <v>55</v>
      </c>
      <c r="H54" s="13" t="s">
        <v>56</v>
      </c>
    </row>
    <row r="55" spans="1:8" x14ac:dyDescent="0.25">
      <c r="A55">
        <f>COUNT(E2:E34)</f>
        <v>33</v>
      </c>
      <c r="B55" s="11">
        <f>AVERAGE(E2:E34)</f>
        <v>-0.55549448850538885</v>
      </c>
      <c r="C55">
        <f>_xlfn.STDEV.S(E2:E34)</f>
        <v>0.3307461811177998</v>
      </c>
      <c r="D55">
        <f>C55/SQRT(A55)</f>
        <v>5.7575519925285278E-2</v>
      </c>
      <c r="E55">
        <f>(B55-E57)/D55</f>
        <v>-9.6481019924135136</v>
      </c>
      <c r="F55">
        <f>A55-1</f>
        <v>32</v>
      </c>
      <c r="G55">
        <f>ABS(B55-E57)/C55</f>
        <v>1.6795189792608425</v>
      </c>
      <c r="H55">
        <f>SQRT(E55^2/(E55^2+F55))</f>
        <v>0.86265621497667111</v>
      </c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ht="15.75" thickBot="1" x14ac:dyDescent="0.3">
      <c r="A57" t="s">
        <v>57</v>
      </c>
      <c r="D57" t="s">
        <v>58</v>
      </c>
      <c r="E57">
        <v>0</v>
      </c>
    </row>
    <row r="58" spans="1:8" ht="15.75" thickTop="1" x14ac:dyDescent="0.25">
      <c r="A58" s="13" t="s">
        <v>59</v>
      </c>
      <c r="B58" s="13" t="s">
        <v>60</v>
      </c>
      <c r="C58" s="13" t="s">
        <v>14</v>
      </c>
      <c r="D58" s="13" t="s">
        <v>17</v>
      </c>
      <c r="E58" s="13" t="s">
        <v>18</v>
      </c>
      <c r="F58" s="13" t="s">
        <v>61</v>
      </c>
    </row>
    <row r="59" spans="1:8" x14ac:dyDescent="0.25">
      <c r="A59" t="s">
        <v>62</v>
      </c>
      <c r="B59">
        <f>_xlfn.T.DIST.RT(ABS(E55),F55)</f>
        <v>2.7032152743386519E-11</v>
      </c>
      <c r="C59">
        <f>_xlfn.T.INV.2T(E53*2,F55)</f>
        <v>1.6938887483837093</v>
      </c>
      <c r="F59" s="5" t="str">
        <f>IF(B59&lt;E53,"yes","no")</f>
        <v>yes</v>
      </c>
    </row>
    <row r="60" spans="1:8" x14ac:dyDescent="0.25">
      <c r="A60" t="s">
        <v>63</v>
      </c>
      <c r="B60">
        <f>_xlfn.T.DIST.2T(ABS(E55),F55)</f>
        <v>5.4064305486773039E-11</v>
      </c>
      <c r="C60">
        <f>_xlfn.T.INV.2T(E53,F55)</f>
        <v>2.0369333434601011</v>
      </c>
      <c r="D60">
        <f>B55-C60*D55</f>
        <v>-0.67277198480825384</v>
      </c>
      <c r="E60">
        <f>B55+C60*D55</f>
        <v>-0.43821699220252386</v>
      </c>
      <c r="F60" s="5" t="str">
        <f>IF(B60&lt;E53,"yes","no")</f>
        <v>yes</v>
      </c>
    </row>
    <row r="61" spans="1:8" x14ac:dyDescent="0.25">
      <c r="A61" s="7"/>
      <c r="B61" s="7"/>
      <c r="C61" s="7"/>
      <c r="D61" s="7"/>
      <c r="E61" s="7"/>
      <c r="F61" s="7"/>
    </row>
    <row r="79" spans="2:2" x14ac:dyDescent="0.25">
      <c r="B79" t="s">
        <v>64</v>
      </c>
    </row>
    <row r="81" spans="1:5" x14ac:dyDescent="0.25">
      <c r="B81" t="s">
        <v>27</v>
      </c>
      <c r="C81">
        <f>C60</f>
        <v>2.0369333434601011</v>
      </c>
    </row>
    <row r="82" spans="1:5" x14ac:dyDescent="0.25">
      <c r="B82" t="s">
        <v>28</v>
      </c>
      <c r="C82">
        <f>1/33</f>
        <v>3.0303030303030304E-2</v>
      </c>
    </row>
    <row r="83" spans="1:5" x14ac:dyDescent="0.25">
      <c r="B83" t="s">
        <v>29</v>
      </c>
      <c r="C83">
        <f>2*(33-1)</f>
        <v>64</v>
      </c>
    </row>
    <row r="84" spans="1:5" x14ac:dyDescent="0.25">
      <c r="B84" t="s">
        <v>30</v>
      </c>
      <c r="C84">
        <f>1.96^2</f>
        <v>3.8415999999999997</v>
      </c>
    </row>
    <row r="85" spans="1:5" x14ac:dyDescent="0.25">
      <c r="B85" t="s">
        <v>31</v>
      </c>
      <c r="C85" s="11">
        <f>_xlfn.VAR.S(E2:E34)</f>
        <v>0.10939303632400843</v>
      </c>
    </row>
    <row r="86" spans="1:5" x14ac:dyDescent="0.25">
      <c r="B86" t="s">
        <v>32</v>
      </c>
      <c r="C86">
        <f>(C84)/C83</f>
        <v>6.0024999999999995E-2</v>
      </c>
    </row>
    <row r="87" spans="1:5" x14ac:dyDescent="0.25">
      <c r="B87" t="s">
        <v>33</v>
      </c>
      <c r="C87">
        <f>C82+C86</f>
        <v>9.0328030303030299E-2</v>
      </c>
    </row>
    <row r="88" spans="1:5" x14ac:dyDescent="0.25">
      <c r="B88" t="s">
        <v>34</v>
      </c>
      <c r="C88">
        <f>C87*C85</f>
        <v>9.8812575000155282E-3</v>
      </c>
    </row>
    <row r="89" spans="1:5" x14ac:dyDescent="0.25">
      <c r="B89" t="s">
        <v>35</v>
      </c>
      <c r="C89">
        <f>SQRT(C88)</f>
        <v>9.9404514485085277E-2</v>
      </c>
    </row>
    <row r="90" spans="1:5" x14ac:dyDescent="0.25">
      <c r="B90" t="s">
        <v>36</v>
      </c>
      <c r="C90">
        <f>C81*C89</f>
        <v>0.20248037004513281</v>
      </c>
    </row>
    <row r="94" spans="1:5" x14ac:dyDescent="0.25">
      <c r="D94" s="10" t="s">
        <v>37</v>
      </c>
      <c r="E94" t="s">
        <v>38</v>
      </c>
    </row>
    <row r="95" spans="1:5" x14ac:dyDescent="0.25">
      <c r="B95" t="s">
        <v>39</v>
      </c>
      <c r="C95" s="11">
        <f>E37</f>
        <v>-0.55549448850538885</v>
      </c>
      <c r="D95" s="11">
        <f>C95-C90</f>
        <v>-0.75797485855052171</v>
      </c>
      <c r="E95" s="11">
        <f>C95+C90</f>
        <v>-0.35301411846025604</v>
      </c>
    </row>
    <row r="96" spans="1:5" x14ac:dyDescent="0.25">
      <c r="A96">
        <v>-1.215420198733556</v>
      </c>
      <c r="B96" t="s">
        <v>40</v>
      </c>
      <c r="C96" s="11">
        <f>E41</f>
        <v>-1.2037570034962766</v>
      </c>
      <c r="D96" s="11">
        <f>C96-C90</f>
        <v>-1.4062373735414093</v>
      </c>
      <c r="E96" s="11">
        <f>C96+C90</f>
        <v>-1.0012766334511438</v>
      </c>
    </row>
    <row r="97" spans="1:5" x14ac:dyDescent="0.25">
      <c r="A97" s="10">
        <v>0.27167581778959587</v>
      </c>
      <c r="B97" t="s">
        <v>41</v>
      </c>
      <c r="C97" s="10">
        <f>E42</f>
        <v>9.2768026485498756E-2</v>
      </c>
      <c r="D97" s="11">
        <f>C97-C90</f>
        <v>-0.10971234355963405</v>
      </c>
      <c r="E97" s="11">
        <f>C97+C90</f>
        <v>0.29524839653063156</v>
      </c>
    </row>
    <row r="102" spans="1:5" x14ac:dyDescent="0.25">
      <c r="C102" t="s">
        <v>100</v>
      </c>
    </row>
    <row r="123" spans="12:12" x14ac:dyDescent="0.25">
      <c r="L123" t="s">
        <v>101</v>
      </c>
    </row>
  </sheetData>
  <mergeCells count="1">
    <mergeCell ref="L23:P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E8F-C74B-43D1-9ED1-876ECE603C1A}">
  <dimension ref="A1:AA102"/>
  <sheetViews>
    <sheetView topLeftCell="A4" zoomScale="70" zoomScaleNormal="70" workbookViewId="0">
      <selection activeCell="L28" sqref="L28"/>
    </sheetView>
  </sheetViews>
  <sheetFormatPr defaultRowHeight="15" x14ac:dyDescent="0.25"/>
  <cols>
    <col min="1" max="1" width="15.140625" customWidth="1"/>
    <col min="3" max="3" width="16.85546875" customWidth="1"/>
    <col min="4" max="4" width="12" bestFit="1" customWidth="1"/>
    <col min="6" max="6" width="24.28515625" style="5" customWidth="1"/>
    <col min="15" max="16" width="12" bestFit="1" customWidth="1"/>
  </cols>
  <sheetData>
    <row r="1" spans="1:20" x14ac:dyDescent="0.25">
      <c r="A1" t="s">
        <v>0</v>
      </c>
      <c r="B1" t="s">
        <v>148</v>
      </c>
      <c r="C1" s="5" t="s">
        <v>2</v>
      </c>
      <c r="D1" s="5" t="s">
        <v>142</v>
      </c>
      <c r="E1" t="s">
        <v>143</v>
      </c>
      <c r="F1" s="5" t="s">
        <v>145</v>
      </c>
      <c r="O1" t="s">
        <v>0</v>
      </c>
      <c r="P1" t="s">
        <v>148</v>
      </c>
      <c r="Q1" t="s">
        <v>2</v>
      </c>
      <c r="R1" t="s">
        <v>142</v>
      </c>
      <c r="S1" t="s">
        <v>143</v>
      </c>
      <c r="T1" t="s">
        <v>145</v>
      </c>
    </row>
    <row r="2" spans="1:20" x14ac:dyDescent="0.25">
      <c r="A2" s="23" t="s">
        <v>84</v>
      </c>
      <c r="B2" s="23" t="s">
        <v>92</v>
      </c>
      <c r="C2" s="23">
        <v>9.2761764518411223</v>
      </c>
      <c r="D2" s="23">
        <v>9.2342464690083563</v>
      </c>
      <c r="E2" s="23">
        <v>0</v>
      </c>
      <c r="F2" s="67" t="s">
        <v>146</v>
      </c>
      <c r="H2" t="s">
        <v>172</v>
      </c>
      <c r="O2" t="s">
        <v>3</v>
      </c>
      <c r="P2" t="s">
        <v>78</v>
      </c>
      <c r="Q2">
        <v>8.2341440282603742</v>
      </c>
      <c r="R2">
        <v>8.1886280846892312</v>
      </c>
      <c r="S2">
        <v>7.8010060921492332</v>
      </c>
      <c r="T2" t="s">
        <v>144</v>
      </c>
    </row>
    <row r="3" spans="1:20" x14ac:dyDescent="0.25">
      <c r="A3" s="23" t="s">
        <v>84</v>
      </c>
      <c r="B3" s="23" t="s">
        <v>93</v>
      </c>
      <c r="C3" s="23">
        <v>9.4095992294330735</v>
      </c>
      <c r="D3" s="23">
        <v>9.3698027627560005</v>
      </c>
      <c r="E3" s="23">
        <v>0</v>
      </c>
      <c r="F3" s="67" t="s">
        <v>146</v>
      </c>
      <c r="H3" t="s">
        <v>173</v>
      </c>
      <c r="O3" t="s">
        <v>3</v>
      </c>
      <c r="P3" t="s">
        <v>79</v>
      </c>
      <c r="Q3">
        <v>8.8919314342223235</v>
      </c>
      <c r="R3">
        <v>8.8073631419576675</v>
      </c>
      <c r="S3">
        <v>8.3420769004355328</v>
      </c>
      <c r="T3" t="s">
        <v>147</v>
      </c>
    </row>
    <row r="4" spans="1:20" x14ac:dyDescent="0.25">
      <c r="A4" s="23" t="s">
        <v>84</v>
      </c>
      <c r="B4" s="23" t="s">
        <v>94</v>
      </c>
      <c r="C4" s="23">
        <v>8.8807963700692447</v>
      </c>
      <c r="D4" s="23">
        <v>8.7975390416549448</v>
      </c>
      <c r="E4" s="23">
        <v>0</v>
      </c>
      <c r="F4" s="67" t="s">
        <v>146</v>
      </c>
      <c r="H4" t="s">
        <v>174</v>
      </c>
      <c r="O4" t="s">
        <v>3</v>
      </c>
      <c r="P4" t="s">
        <v>82</v>
      </c>
      <c r="Q4">
        <v>8.2341440282603742</v>
      </c>
      <c r="R4">
        <v>8.1886280846892312</v>
      </c>
      <c r="S4">
        <v>7.8036145379865518</v>
      </c>
    </row>
    <row r="5" spans="1:20" x14ac:dyDescent="0.25">
      <c r="A5" s="23" t="s">
        <v>84</v>
      </c>
      <c r="B5" s="23" t="s">
        <v>95</v>
      </c>
      <c r="C5" s="23">
        <v>9.1442351179673445</v>
      </c>
      <c r="D5" s="23">
        <v>9.0792812559937754</v>
      </c>
      <c r="E5" s="23">
        <v>0</v>
      </c>
      <c r="F5" s="67" t="s">
        <v>146</v>
      </c>
      <c r="H5" t="s">
        <v>175</v>
      </c>
      <c r="O5" t="s">
        <v>3</v>
      </c>
      <c r="P5" t="s">
        <v>83</v>
      </c>
      <c r="Q5">
        <v>7.8089497229447025</v>
      </c>
      <c r="R5">
        <v>7.7347758523589683</v>
      </c>
      <c r="S5">
        <v>7.7822420381159683</v>
      </c>
    </row>
    <row r="6" spans="1:20" x14ac:dyDescent="0.25">
      <c r="A6" s="23" t="s">
        <v>84</v>
      </c>
      <c r="B6" s="23" t="s">
        <v>96</v>
      </c>
      <c r="C6" s="23">
        <v>8.6201533199929941</v>
      </c>
      <c r="D6" s="23">
        <v>8.568700902738243</v>
      </c>
      <c r="E6" s="23">
        <v>0</v>
      </c>
      <c r="F6" s="67" t="s">
        <v>146</v>
      </c>
      <c r="O6" t="s">
        <v>4</v>
      </c>
      <c r="P6" t="s">
        <v>84</v>
      </c>
      <c r="Q6">
        <v>8.3572198218687177</v>
      </c>
      <c r="R6">
        <v>8.3194936964926871</v>
      </c>
      <c r="S6">
        <v>7.8218768070207103</v>
      </c>
    </row>
    <row r="7" spans="1:20" ht="15.75" thickBot="1" x14ac:dyDescent="0.3">
      <c r="A7" s="23" t="s">
        <v>84</v>
      </c>
      <c r="B7" s="23" t="s">
        <v>96</v>
      </c>
      <c r="C7" s="23">
        <v>9.1116674551846319</v>
      </c>
      <c r="D7" s="23">
        <v>9.0403060661856056</v>
      </c>
      <c r="E7" s="23">
        <v>0</v>
      </c>
      <c r="F7" s="67" t="s">
        <v>146</v>
      </c>
      <c r="O7" t="s">
        <v>4</v>
      </c>
      <c r="P7" t="s">
        <v>3</v>
      </c>
      <c r="Q7">
        <v>8.7643612976558138</v>
      </c>
      <c r="R7">
        <v>8.6964437922704736</v>
      </c>
      <c r="S7">
        <v>8.0190586454557842</v>
      </c>
    </row>
    <row r="8" spans="1:20" ht="15.75" thickBot="1" x14ac:dyDescent="0.3">
      <c r="A8" s="46" t="s">
        <v>3</v>
      </c>
      <c r="B8" s="47" t="s">
        <v>80</v>
      </c>
      <c r="C8" s="47">
        <v>5.3645544615178249</v>
      </c>
      <c r="D8" s="47">
        <v>5.3269438826450264</v>
      </c>
      <c r="E8" s="50">
        <v>7.5301897192234764</v>
      </c>
      <c r="F8" s="58" t="s">
        <v>144</v>
      </c>
      <c r="O8" t="s">
        <v>4</v>
      </c>
      <c r="P8" t="s">
        <v>4</v>
      </c>
      <c r="Q8">
        <v>7.9454995545820433</v>
      </c>
      <c r="R8">
        <v>7.8563273221240033</v>
      </c>
      <c r="S8">
        <v>7.484465321548373</v>
      </c>
    </row>
    <row r="9" spans="1:20" ht="15.75" thickBot="1" x14ac:dyDescent="0.3">
      <c r="A9" s="49" t="s">
        <v>3</v>
      </c>
      <c r="B9" s="50" t="s">
        <v>81</v>
      </c>
      <c r="C9" s="50">
        <v>7.2229789086827063</v>
      </c>
      <c r="D9" s="50">
        <v>7.1759008420245616</v>
      </c>
      <c r="E9" s="50">
        <v>7.600886023332543</v>
      </c>
      <c r="F9" s="58" t="s">
        <v>147</v>
      </c>
      <c r="O9" t="s">
        <v>4</v>
      </c>
      <c r="P9" t="s">
        <v>6</v>
      </c>
      <c r="Q9">
        <v>8.433439308765692</v>
      </c>
      <c r="R9">
        <v>8.3941183312560934</v>
      </c>
      <c r="S9">
        <v>7.5762906186122363</v>
      </c>
    </row>
    <row r="10" spans="1:20" x14ac:dyDescent="0.25">
      <c r="A10" s="14" t="s">
        <v>3</v>
      </c>
      <c r="B10" s="14" t="s">
        <v>78</v>
      </c>
      <c r="C10" s="14">
        <v>8.2341440282603742</v>
      </c>
      <c r="D10" s="14">
        <v>8.1886280846892312</v>
      </c>
      <c r="E10" s="14">
        <v>7.8010060921492332</v>
      </c>
      <c r="F10" s="57"/>
      <c r="O10" t="s">
        <v>4</v>
      </c>
      <c r="P10" t="s">
        <v>7</v>
      </c>
      <c r="Q10">
        <v>8.0198583147993681</v>
      </c>
      <c r="R10">
        <v>7.9305691490684538</v>
      </c>
      <c r="S10">
        <v>7.959097229431511</v>
      </c>
    </row>
    <row r="11" spans="1:20" x14ac:dyDescent="0.25">
      <c r="A11" s="14" t="s">
        <v>3</v>
      </c>
      <c r="B11" s="14" t="s">
        <v>79</v>
      </c>
      <c r="C11" s="14">
        <v>8.8919314342223235</v>
      </c>
      <c r="D11" s="14">
        <v>8.8073631419576675</v>
      </c>
      <c r="E11" s="14">
        <v>8.3420769004355328</v>
      </c>
      <c r="F11" s="57"/>
      <c r="O11" t="s">
        <v>4</v>
      </c>
      <c r="P11" t="s">
        <v>85</v>
      </c>
      <c r="Q11">
        <v>8.4821195071944917</v>
      </c>
      <c r="R11">
        <v>8.4405588330644097</v>
      </c>
      <c r="S11">
        <v>7.8535353114309956</v>
      </c>
    </row>
    <row r="12" spans="1:20" x14ac:dyDescent="0.25">
      <c r="A12" s="14" t="s">
        <v>3</v>
      </c>
      <c r="B12" s="14" t="s">
        <v>82</v>
      </c>
      <c r="C12" s="14">
        <v>8.2341440282603742</v>
      </c>
      <c r="D12" s="14">
        <v>8.1886280846892312</v>
      </c>
      <c r="E12" s="14">
        <v>7.8036145379865518</v>
      </c>
      <c r="F12" s="57"/>
      <c r="O12" t="s">
        <v>5</v>
      </c>
      <c r="P12" t="s">
        <v>86</v>
      </c>
      <c r="Q12">
        <v>9.073130254466049</v>
      </c>
      <c r="R12">
        <v>8.9932665341224087</v>
      </c>
      <c r="S12">
        <v>9.0296265704866769</v>
      </c>
    </row>
    <row r="13" spans="1:20" x14ac:dyDescent="0.25">
      <c r="A13" s="14" t="s">
        <v>3</v>
      </c>
      <c r="B13" s="14" t="s">
        <v>83</v>
      </c>
      <c r="C13" s="14">
        <v>7.8089497229447025</v>
      </c>
      <c r="D13" s="14">
        <v>7.7347758523589683</v>
      </c>
      <c r="E13" s="14">
        <v>7.7822420381159683</v>
      </c>
      <c r="F13" s="57"/>
      <c r="O13" t="s">
        <v>5</v>
      </c>
      <c r="P13" t="s">
        <v>87</v>
      </c>
      <c r="Q13">
        <v>9.4095992294330735</v>
      </c>
      <c r="R13">
        <v>9.3698027627560005</v>
      </c>
      <c r="S13">
        <v>8.5882150418302601</v>
      </c>
    </row>
    <row r="14" spans="1:20" x14ac:dyDescent="0.25">
      <c r="A14" s="22" t="s">
        <v>4</v>
      </c>
      <c r="B14" s="22" t="s">
        <v>84</v>
      </c>
      <c r="C14" s="22">
        <v>8.3572198218687177</v>
      </c>
      <c r="D14" s="22">
        <v>8.3194936964926871</v>
      </c>
      <c r="E14" s="22">
        <v>7.8218768070207103</v>
      </c>
      <c r="F14" s="59"/>
      <c r="O14" t="s">
        <v>5</v>
      </c>
      <c r="P14" t="s">
        <v>88</v>
      </c>
      <c r="Q14">
        <v>9.8089497229447034</v>
      </c>
      <c r="R14">
        <v>9.73477585235897</v>
      </c>
      <c r="S14">
        <v>9.0099672838335625</v>
      </c>
    </row>
    <row r="15" spans="1:20" x14ac:dyDescent="0.25">
      <c r="A15" s="22" t="s">
        <v>4</v>
      </c>
      <c r="B15" s="22" t="s">
        <v>3</v>
      </c>
      <c r="C15" s="22">
        <v>8.7643612976558138</v>
      </c>
      <c r="D15" s="22">
        <v>8.6964437922704736</v>
      </c>
      <c r="E15" s="22">
        <v>8.0190586454557842</v>
      </c>
      <c r="F15" s="59"/>
      <c r="O15" t="s">
        <v>5</v>
      </c>
      <c r="P15" t="s">
        <v>89</v>
      </c>
      <c r="Q15">
        <v>9.4821195071944917</v>
      </c>
      <c r="R15">
        <v>9.4405588330644132</v>
      </c>
      <c r="S15">
        <v>8.7802901232329518</v>
      </c>
    </row>
    <row r="16" spans="1:20" x14ac:dyDescent="0.25">
      <c r="A16" s="22" t="s">
        <v>4</v>
      </c>
      <c r="B16" s="22" t="s">
        <v>4</v>
      </c>
      <c r="C16" s="22">
        <v>7.9454995545820433</v>
      </c>
      <c r="D16" s="22">
        <v>7.8563273221240033</v>
      </c>
      <c r="E16" s="22">
        <v>7.484465321548373</v>
      </c>
      <c r="F16" s="59"/>
      <c r="O16" t="s">
        <v>5</v>
      </c>
      <c r="P16" t="s">
        <v>90</v>
      </c>
      <c r="Q16">
        <v>9.4290575632187235</v>
      </c>
      <c r="R16">
        <v>9.3900313382247553</v>
      </c>
      <c r="S16">
        <v>9.0422706215029169</v>
      </c>
    </row>
    <row r="17" spans="1:19" x14ac:dyDescent="0.25">
      <c r="A17" s="22" t="s">
        <v>4</v>
      </c>
      <c r="B17" s="22" t="s">
        <v>6</v>
      </c>
      <c r="C17" s="22">
        <v>8.433439308765692</v>
      </c>
      <c r="D17" s="22">
        <v>8.3941183312560934</v>
      </c>
      <c r="E17" s="22">
        <v>7.5762906186122363</v>
      </c>
      <c r="F17" s="59"/>
      <c r="O17" t="s">
        <v>5</v>
      </c>
      <c r="P17" t="s">
        <v>91</v>
      </c>
      <c r="Q17">
        <v>9.3572198218687088</v>
      </c>
      <c r="R17">
        <v>9.3194936964926764</v>
      </c>
      <c r="S17">
        <v>9.097594738939863</v>
      </c>
    </row>
    <row r="18" spans="1:19" x14ac:dyDescent="0.25">
      <c r="A18" s="22" t="s">
        <v>4</v>
      </c>
      <c r="B18" s="22" t="s">
        <v>7</v>
      </c>
      <c r="C18" s="22">
        <v>8.0198583147993681</v>
      </c>
      <c r="D18" s="22">
        <v>7.9305691490684538</v>
      </c>
      <c r="E18" s="22">
        <v>7.959097229431511</v>
      </c>
      <c r="F18" s="59"/>
      <c r="O18" t="s">
        <v>6</v>
      </c>
      <c r="P18" t="s">
        <v>92</v>
      </c>
      <c r="Q18">
        <v>8.9943636816220121</v>
      </c>
      <c r="R18">
        <v>8.9049021797530337</v>
      </c>
      <c r="S18">
        <v>8.3688831300769664</v>
      </c>
    </row>
    <row r="19" spans="1:19" x14ac:dyDescent="0.25">
      <c r="A19" s="22" t="s">
        <v>4</v>
      </c>
      <c r="B19" s="22" t="s">
        <v>85</v>
      </c>
      <c r="C19" s="22">
        <v>8.4821195071944917</v>
      </c>
      <c r="D19" s="22">
        <v>8.4405588330644097</v>
      </c>
      <c r="E19" s="22">
        <v>7.8535353114309956</v>
      </c>
      <c r="F19" s="59"/>
      <c r="O19" t="s">
        <v>6</v>
      </c>
      <c r="P19" t="s">
        <v>93</v>
      </c>
      <c r="Q19">
        <v>8.9943636816220121</v>
      </c>
      <c r="R19">
        <v>8.9049021797530337</v>
      </c>
      <c r="S19">
        <v>8.6479740309110671</v>
      </c>
    </row>
    <row r="20" spans="1:19" x14ac:dyDescent="0.25">
      <c r="A20" s="29" t="s">
        <v>5</v>
      </c>
      <c r="B20" s="29" t="s">
        <v>86</v>
      </c>
      <c r="C20" s="29">
        <v>9.073130254466049</v>
      </c>
      <c r="D20" s="29">
        <v>8.9932665341224087</v>
      </c>
      <c r="E20" s="29">
        <v>9.0296265704866769</v>
      </c>
      <c r="F20" s="60"/>
      <c r="O20" t="s">
        <v>6</v>
      </c>
      <c r="P20" t="s">
        <v>95</v>
      </c>
      <c r="Q20">
        <v>8.75381433874756</v>
      </c>
      <c r="R20">
        <v>8.6875136349547581</v>
      </c>
      <c r="S20">
        <v>8.7286939638031917</v>
      </c>
    </row>
    <row r="21" spans="1:19" x14ac:dyDescent="0.25">
      <c r="A21" s="29" t="s">
        <v>5</v>
      </c>
      <c r="B21" s="29" t="s">
        <v>87</v>
      </c>
      <c r="C21" s="29">
        <v>9.4095992294330735</v>
      </c>
      <c r="D21" s="29">
        <v>9.3698027627560005</v>
      </c>
      <c r="E21" s="29">
        <v>8.5882150418302601</v>
      </c>
      <c r="F21" s="60"/>
      <c r="O21" t="s">
        <v>6</v>
      </c>
      <c r="P21" t="s">
        <v>96</v>
      </c>
      <c r="Q21">
        <v>9.2003075859100498</v>
      </c>
      <c r="R21">
        <v>9.1495116736567876</v>
      </c>
      <c r="S21">
        <v>8.7160140251297094</v>
      </c>
    </row>
    <row r="22" spans="1:19" x14ac:dyDescent="0.25">
      <c r="A22" s="29" t="s">
        <v>5</v>
      </c>
      <c r="B22" s="29" t="s">
        <v>88</v>
      </c>
      <c r="C22" s="29">
        <v>9.8089497229447034</v>
      </c>
      <c r="D22" s="29">
        <v>9.73477585235897</v>
      </c>
      <c r="E22" s="29">
        <v>9.0099672838335625</v>
      </c>
      <c r="F22" s="60"/>
      <c r="O22" t="s">
        <v>6</v>
      </c>
      <c r="P22" t="s">
        <v>97</v>
      </c>
      <c r="Q22">
        <v>9.2742332965551206</v>
      </c>
      <c r="R22">
        <v>9.2323033137223529</v>
      </c>
      <c r="S22">
        <v>8.7664365835732578</v>
      </c>
    </row>
    <row r="23" spans="1:19" x14ac:dyDescent="0.25">
      <c r="A23" s="29" t="s">
        <v>5</v>
      </c>
      <c r="B23" s="29" t="s">
        <v>89</v>
      </c>
      <c r="C23" s="29">
        <v>9.4821195071944917</v>
      </c>
      <c r="D23" s="29">
        <v>9.4405588330644132</v>
      </c>
      <c r="E23" s="29">
        <v>8.7802901232329518</v>
      </c>
      <c r="F23" s="60"/>
      <c r="O23" t="s">
        <v>7</v>
      </c>
      <c r="P23" t="s">
        <v>78</v>
      </c>
      <c r="Q23">
        <v>8.8879477486695126</v>
      </c>
      <c r="R23">
        <v>8.8036130171770157</v>
      </c>
      <c r="S23">
        <v>8.0678531344129869</v>
      </c>
    </row>
    <row r="24" spans="1:19" x14ac:dyDescent="0.25">
      <c r="A24" s="29" t="s">
        <v>5</v>
      </c>
      <c r="B24" s="29" t="s">
        <v>90</v>
      </c>
      <c r="C24" s="29">
        <v>9.4290575632187235</v>
      </c>
      <c r="D24" s="29">
        <v>9.3900313382247553</v>
      </c>
      <c r="E24" s="29">
        <v>9.0422706215029169</v>
      </c>
      <c r="F24" s="60"/>
      <c r="O24" t="s">
        <v>7</v>
      </c>
      <c r="P24" t="s">
        <v>79</v>
      </c>
      <c r="Q24">
        <v>8.2322008729743708</v>
      </c>
      <c r="R24">
        <v>8.1866849294032296</v>
      </c>
      <c r="S24">
        <v>7.7497722979332098</v>
      </c>
    </row>
    <row r="25" spans="1:19" ht="15.75" thickBot="1" x14ac:dyDescent="0.3">
      <c r="A25" s="29" t="s">
        <v>5</v>
      </c>
      <c r="B25" s="29" t="s">
        <v>91</v>
      </c>
      <c r="C25" s="29">
        <v>9.3572198218687088</v>
      </c>
      <c r="D25" s="29">
        <v>9.3194936964926764</v>
      </c>
      <c r="E25" s="29">
        <v>9.097594738939863</v>
      </c>
      <c r="F25" s="60"/>
      <c r="O25" t="s">
        <v>7</v>
      </c>
      <c r="P25" t="s">
        <v>80</v>
      </c>
      <c r="Q25">
        <v>8.4076560741471429</v>
      </c>
      <c r="R25">
        <v>8.36785960747007</v>
      </c>
      <c r="S25">
        <v>7.547630699023073</v>
      </c>
    </row>
    <row r="26" spans="1:19" ht="15.75" thickBot="1" x14ac:dyDescent="0.3">
      <c r="A26" s="62" t="s">
        <v>6</v>
      </c>
      <c r="B26" s="63" t="s">
        <v>94</v>
      </c>
      <c r="C26" s="63">
        <v>9.1411898739307542</v>
      </c>
      <c r="D26" s="64">
        <v>9.0775675245890675</v>
      </c>
      <c r="E26" s="63">
        <v>7.943033496805481</v>
      </c>
      <c r="F26" s="65" t="s">
        <v>147</v>
      </c>
      <c r="O26" t="s">
        <v>7</v>
      </c>
      <c r="P26" t="s">
        <v>81</v>
      </c>
      <c r="Q26">
        <v>8.551881353564097</v>
      </c>
      <c r="R26">
        <v>8.5058256606117801</v>
      </c>
      <c r="S26">
        <v>7.4915420585084975</v>
      </c>
    </row>
    <row r="27" spans="1:19" x14ac:dyDescent="0.25">
      <c r="A27" s="21" t="s">
        <v>6</v>
      </c>
      <c r="B27" s="21" t="s">
        <v>92</v>
      </c>
      <c r="C27" s="21">
        <v>8.9943636816220121</v>
      </c>
      <c r="D27" s="21">
        <v>8.9049021797530337</v>
      </c>
      <c r="E27" s="21">
        <v>8.3688831300769664</v>
      </c>
      <c r="F27" s="61"/>
      <c r="O27" t="s">
        <v>7</v>
      </c>
      <c r="P27" t="s">
        <v>82</v>
      </c>
      <c r="Q27">
        <v>8.7624181423698122</v>
      </c>
      <c r="R27">
        <v>8.694500636984472</v>
      </c>
      <c r="S27">
        <v>7.9397390854947822</v>
      </c>
    </row>
    <row r="28" spans="1:19" x14ac:dyDescent="0.25">
      <c r="A28" s="21" t="s">
        <v>6</v>
      </c>
      <c r="B28" s="21" t="s">
        <v>93</v>
      </c>
      <c r="C28" s="21">
        <v>8.9943636816220121</v>
      </c>
      <c r="D28" s="21">
        <v>8.9049021797530337</v>
      </c>
      <c r="E28" s="21">
        <v>8.6479740309110671</v>
      </c>
      <c r="F28" s="61"/>
      <c r="O28" t="s">
        <v>7</v>
      </c>
      <c r="P28" t="s">
        <v>83</v>
      </c>
      <c r="Q28">
        <v>8.551881353564097</v>
      </c>
      <c r="R28">
        <v>8.5058256606117801</v>
      </c>
      <c r="S28">
        <v>7.8248753918418315</v>
      </c>
    </row>
    <row r="29" spans="1:19" x14ac:dyDescent="0.25">
      <c r="A29" s="21" t="s">
        <v>6</v>
      </c>
      <c r="B29" s="21" t="s">
        <v>95</v>
      </c>
      <c r="C29" s="21">
        <v>8.75381433874756</v>
      </c>
      <c r="D29" s="21">
        <v>8.6875136349547581</v>
      </c>
      <c r="E29" s="21">
        <v>8.7286939638031917</v>
      </c>
      <c r="F29" s="61"/>
      <c r="O29" t="s">
        <v>5</v>
      </c>
      <c r="P29" t="s">
        <v>86</v>
      </c>
      <c r="Q29">
        <v>9.618210164706996</v>
      </c>
      <c r="R29">
        <v>9.5667577474522449</v>
      </c>
      <c r="S29">
        <v>9.0218969275173304</v>
      </c>
    </row>
    <row r="30" spans="1:19" x14ac:dyDescent="0.25">
      <c r="A30" s="21" t="s">
        <v>6</v>
      </c>
      <c r="B30" s="21" t="s">
        <v>96</v>
      </c>
      <c r="C30" s="21">
        <v>9.2003075859100498</v>
      </c>
      <c r="D30" s="21">
        <v>9.1495116736567876</v>
      </c>
      <c r="E30" s="21">
        <v>8.7160140251297094</v>
      </c>
      <c r="F30" s="61"/>
      <c r="O30" t="s">
        <v>5</v>
      </c>
      <c r="P30" t="s">
        <v>87</v>
      </c>
      <c r="Q30">
        <v>9.8070065676587017</v>
      </c>
      <c r="R30">
        <v>9.7328326970729684</v>
      </c>
      <c r="S30">
        <v>8.2214300805901512</v>
      </c>
    </row>
    <row r="31" spans="1:19" x14ac:dyDescent="0.25">
      <c r="A31" s="21" t="s">
        <v>6</v>
      </c>
      <c r="B31" s="21" t="s">
        <v>97</v>
      </c>
      <c r="C31" s="21">
        <v>9.2742332965551206</v>
      </c>
      <c r="D31" s="21">
        <v>9.2323033137223529</v>
      </c>
      <c r="E31" s="21">
        <v>8.7664365835732578</v>
      </c>
      <c r="F31" s="61"/>
      <c r="O31" t="s">
        <v>5</v>
      </c>
      <c r="P31" t="s">
        <v>88</v>
      </c>
      <c r="Q31">
        <v>9.3860527650149539</v>
      </c>
      <c r="R31">
        <v>9.3481637834513869</v>
      </c>
      <c r="S31">
        <v>8.7066711172629585</v>
      </c>
    </row>
    <row r="32" spans="1:19" x14ac:dyDescent="0.25">
      <c r="A32" s="44" t="s">
        <v>7</v>
      </c>
      <c r="B32" s="44" t="s">
        <v>78</v>
      </c>
      <c r="C32" s="44">
        <v>8.8879477486695126</v>
      </c>
      <c r="D32" s="44">
        <v>8.8036130171770157</v>
      </c>
      <c r="E32" s="44">
        <v>8.0678531344129869</v>
      </c>
      <c r="F32" s="66"/>
      <c r="O32" t="s">
        <v>5</v>
      </c>
      <c r="P32" t="s">
        <v>89</v>
      </c>
      <c r="Q32">
        <v>9.0179151595133717</v>
      </c>
      <c r="R32">
        <v>8.9286259937824575</v>
      </c>
      <c r="S32">
        <v>8.9129511744272421</v>
      </c>
    </row>
    <row r="33" spans="1:27" x14ac:dyDescent="0.25">
      <c r="A33" s="44" t="s">
        <v>7</v>
      </c>
      <c r="B33" s="44" t="s">
        <v>79</v>
      </c>
      <c r="C33" s="44">
        <v>8.2322008729743708</v>
      </c>
      <c r="D33" s="44">
        <v>8.1866849294032296</v>
      </c>
      <c r="E33" s="44">
        <v>7.7497722979332098</v>
      </c>
      <c r="F33" s="66"/>
      <c r="O33" t="s">
        <v>5</v>
      </c>
      <c r="P33" t="s">
        <v>90</v>
      </c>
      <c r="Q33">
        <v>9.1422919626813428</v>
      </c>
      <c r="R33">
        <v>9.0773381007077738</v>
      </c>
      <c r="S33">
        <v>8.936108429314281</v>
      </c>
    </row>
    <row r="34" spans="1:27" x14ac:dyDescent="0.25">
      <c r="A34" s="44" t="s">
        <v>7</v>
      </c>
      <c r="B34" s="44" t="s">
        <v>80</v>
      </c>
      <c r="C34" s="44">
        <v>8.4076560741471429</v>
      </c>
      <c r="D34" s="44">
        <v>8.36785960747007</v>
      </c>
      <c r="E34" s="44">
        <v>7.547630699023073</v>
      </c>
      <c r="F34" s="66"/>
      <c r="O34" t="s">
        <v>5</v>
      </c>
      <c r="P34" t="s">
        <v>91</v>
      </c>
      <c r="Q34">
        <v>9.4076560741470718</v>
      </c>
      <c r="R34">
        <v>9.3678596074699989</v>
      </c>
      <c r="S34">
        <v>8.7509258086363797</v>
      </c>
    </row>
    <row r="35" spans="1:27" x14ac:dyDescent="0.25">
      <c r="A35" s="44" t="s">
        <v>7</v>
      </c>
      <c r="B35" s="44" t="s">
        <v>81</v>
      </c>
      <c r="C35" s="44">
        <v>8.551881353564097</v>
      </c>
      <c r="D35" s="44">
        <v>8.5058256606117801</v>
      </c>
      <c r="E35" s="44">
        <v>7.4915420585084975</v>
      </c>
      <c r="F35" s="66"/>
    </row>
    <row r="36" spans="1:27" x14ac:dyDescent="0.25">
      <c r="A36" s="44" t="s">
        <v>7</v>
      </c>
      <c r="B36" s="44" t="s">
        <v>82</v>
      </c>
      <c r="C36" s="44">
        <v>8.7624181423698122</v>
      </c>
      <c r="D36" s="44">
        <v>8.694500636984472</v>
      </c>
      <c r="E36" s="44">
        <v>7.9397390854947822</v>
      </c>
      <c r="F36" s="66"/>
    </row>
    <row r="37" spans="1:27" x14ac:dyDescent="0.25">
      <c r="A37" s="44" t="s">
        <v>7</v>
      </c>
      <c r="B37" s="44" t="s">
        <v>83</v>
      </c>
      <c r="C37" s="44">
        <v>8.551881353564097</v>
      </c>
      <c r="D37" s="44">
        <v>8.5058256606117801</v>
      </c>
      <c r="E37" s="44">
        <v>7.8248753918418315</v>
      </c>
      <c r="F37" s="66"/>
      <c r="N37" t="s">
        <v>9</v>
      </c>
      <c r="O37" s="2">
        <v>0.05</v>
      </c>
      <c r="Q37" s="6" t="s">
        <v>15</v>
      </c>
      <c r="R37" s="6" t="s">
        <v>16</v>
      </c>
      <c r="S37" s="6" t="s">
        <v>17</v>
      </c>
      <c r="T37" s="6" t="s">
        <v>18</v>
      </c>
      <c r="U37" s="6" t="s">
        <v>19</v>
      </c>
      <c r="V37" s="6" t="s">
        <v>20</v>
      </c>
      <c r="W37" s="6" t="s">
        <v>17</v>
      </c>
      <c r="X37" s="6" t="s">
        <v>18</v>
      </c>
      <c r="Y37" s="6" t="s">
        <v>21</v>
      </c>
      <c r="Z37" s="1"/>
    </row>
    <row r="38" spans="1:27" x14ac:dyDescent="0.25">
      <c r="A38" s="23" t="s">
        <v>85</v>
      </c>
      <c r="B38" s="23" t="s">
        <v>84</v>
      </c>
      <c r="C38" s="23">
        <v>8.7297610410454674</v>
      </c>
      <c r="D38" s="23">
        <v>8.6665504694560109</v>
      </c>
      <c r="E38" s="23">
        <v>0</v>
      </c>
      <c r="F38" s="67" t="s">
        <v>146</v>
      </c>
      <c r="N38" t="s">
        <v>10</v>
      </c>
      <c r="O38" s="3">
        <f>COUNT(Q2:Q34)</f>
        <v>33</v>
      </c>
      <c r="Q38" s="7">
        <v>5</v>
      </c>
      <c r="R38" s="7">
        <f t="array" ref="R38:R62">TREND(S2:S33,Q2:Q33,Q38:Q62)</f>
        <v>5.1757418883589166</v>
      </c>
      <c r="S38" s="7">
        <f>R38-$O$42*U38</f>
        <v>4.3565073256725348</v>
      </c>
      <c r="T38" s="18">
        <f>R38+$O$42*U38</f>
        <v>5.9949764510452983</v>
      </c>
      <c r="U38" s="18">
        <f>$O$41*SQRT(1/$O$38+(Q38-$O$39)^2/$O$40)</f>
        <v>0.40168137363049888</v>
      </c>
      <c r="V38" s="18">
        <f>R38</f>
        <v>5.1757418883589166</v>
      </c>
      <c r="W38" s="18">
        <f>V38-$O$42*Y38</f>
        <v>4.1242925149506533</v>
      </c>
      <c r="X38" s="18">
        <f>V38+$O$42*Y38</f>
        <v>6.2271912617671799</v>
      </c>
      <c r="Y38" s="18">
        <f>$O$41*SQRT(1+1/$O$38+(Q38-$O$39)^2/$O$40)</f>
        <v>0.5155393190792914</v>
      </c>
      <c r="Z38" s="1"/>
    </row>
    <row r="39" spans="1:27" x14ac:dyDescent="0.25">
      <c r="A39" s="23" t="s">
        <v>85</v>
      </c>
      <c r="B39" s="23" t="s">
        <v>3</v>
      </c>
      <c r="C39" s="23">
        <v>9.0179151595133717</v>
      </c>
      <c r="D39" s="23">
        <v>8.9286259937824575</v>
      </c>
      <c r="E39" s="23">
        <v>0</v>
      </c>
      <c r="F39" s="67" t="s">
        <v>146</v>
      </c>
      <c r="N39" t="s">
        <v>11</v>
      </c>
      <c r="O39" s="3">
        <f>AVERAGE(R2:R34)</f>
        <v>8.8112077493644136</v>
      </c>
      <c r="Q39">
        <f>Q38+0.25</f>
        <v>5.25</v>
      </c>
      <c r="R39">
        <v>5.3785082532999748</v>
      </c>
      <c r="S39">
        <f t="shared" ref="S39:S62" si="0">R39-$O$42*U39</f>
        <v>4.6119219727030112</v>
      </c>
      <c r="T39" s="1">
        <f t="shared" ref="T39:T62" si="1">R39+$O$42*U39</f>
        <v>6.1450945338969385</v>
      </c>
      <c r="U39" s="1">
        <f t="shared" ref="U39:U62" si="2">$O$41*SQRT(1/$O$38+(Q39-$O$39)^2/$O$40)</f>
        <v>0.37586723537000233</v>
      </c>
      <c r="V39" s="1">
        <f t="shared" ref="V39:V62" si="3">R39</f>
        <v>5.3785082532999748</v>
      </c>
      <c r="W39" s="1">
        <f t="shared" ref="W39:W62" si="4">V39-$O$42*Y39</f>
        <v>4.3675408741327892</v>
      </c>
      <c r="X39" s="1">
        <f t="shared" ref="X39:X62" si="5">V39+$O$42*Y39</f>
        <v>6.3894756324671604</v>
      </c>
      <c r="Y39" s="1">
        <f t="shared" ref="Y39:Y62" si="6">$O$41*SQRT(1+1/$O$38+(Q39-$O$39)^2/$O$40)</f>
        <v>0.4956904701724088</v>
      </c>
      <c r="Z39" s="1"/>
      <c r="AA39" s="1"/>
    </row>
    <row r="40" spans="1:27" x14ac:dyDescent="0.25">
      <c r="A40" s="23" t="s">
        <v>85</v>
      </c>
      <c r="B40" s="23" t="s">
        <v>4</v>
      </c>
      <c r="C40" s="23">
        <v>9.1422919626813428</v>
      </c>
      <c r="D40" s="23">
        <v>9.0773381007077738</v>
      </c>
      <c r="E40" s="23">
        <v>0</v>
      </c>
      <c r="F40" s="67" t="s">
        <v>146</v>
      </c>
      <c r="N40" t="s">
        <v>12</v>
      </c>
      <c r="O40" s="3">
        <f>DEVSQ(R2:R34)</f>
        <v>9.5896292778164778</v>
      </c>
      <c r="Q40">
        <f t="shared" ref="Q40:Q62" si="7">Q39+0.25</f>
        <v>5.5</v>
      </c>
      <c r="R40">
        <v>5.581274618241034</v>
      </c>
      <c r="S40">
        <f t="shared" si="0"/>
        <v>4.8672535007740372</v>
      </c>
      <c r="T40" s="1">
        <f t="shared" si="1"/>
        <v>6.2952957357080308</v>
      </c>
      <c r="U40" s="1">
        <f t="shared" si="2"/>
        <v>0.35009385141764665</v>
      </c>
      <c r="V40" s="1">
        <f t="shared" si="3"/>
        <v>5.581274618241034</v>
      </c>
      <c r="W40" s="1">
        <f t="shared" si="4"/>
        <v>4.6095613517217897</v>
      </c>
      <c r="X40" s="1">
        <f t="shared" si="5"/>
        <v>6.5529878847602783</v>
      </c>
      <c r="Y40" s="1">
        <f t="shared" si="6"/>
        <v>0.4764436675993251</v>
      </c>
      <c r="Z40" s="1"/>
    </row>
    <row r="41" spans="1:27" x14ac:dyDescent="0.25">
      <c r="A41" s="23" t="s">
        <v>85</v>
      </c>
      <c r="B41" s="23" t="s">
        <v>6</v>
      </c>
      <c r="C41" s="23">
        <v>9.1422919626813428</v>
      </c>
      <c r="D41" s="23">
        <v>9.0773381007077738</v>
      </c>
      <c r="E41" s="23">
        <v>0</v>
      </c>
      <c r="F41" s="67" t="s">
        <v>146</v>
      </c>
      <c r="N41" t="s">
        <v>13</v>
      </c>
      <c r="O41" s="3">
        <f>STEYX(S2:S34,R2:R34)</f>
        <v>0.32316073956323182</v>
      </c>
      <c r="Q41">
        <f t="shared" si="7"/>
        <v>5.75</v>
      </c>
      <c r="R41">
        <v>5.7840409831820931</v>
      </c>
      <c r="S41">
        <f t="shared" si="0"/>
        <v>5.1224820965605433</v>
      </c>
      <c r="T41" s="1">
        <f t="shared" si="1"/>
        <v>6.445599869803643</v>
      </c>
      <c r="U41" s="1">
        <f t="shared" si="2"/>
        <v>0.32437093650470927</v>
      </c>
      <c r="V41" s="1">
        <f t="shared" si="3"/>
        <v>5.7840409831820931</v>
      </c>
      <c r="W41" s="1">
        <f t="shared" si="4"/>
        <v>4.8501990925985607</v>
      </c>
      <c r="X41" s="1">
        <f t="shared" si="5"/>
        <v>6.7178828737656255</v>
      </c>
      <c r="Y41" s="1">
        <f t="shared" si="6"/>
        <v>0.45787483884135521</v>
      </c>
      <c r="Z41" s="1"/>
    </row>
    <row r="42" spans="1:27" x14ac:dyDescent="0.25">
      <c r="A42" s="23" t="s">
        <v>85</v>
      </c>
      <c r="B42" s="23" t="s">
        <v>7</v>
      </c>
      <c r="C42" s="23">
        <v>8.8441198531901524</v>
      </c>
      <c r="D42" s="23">
        <v>8.7646559952574794</v>
      </c>
      <c r="E42" s="23">
        <v>0</v>
      </c>
      <c r="F42" s="67" t="s">
        <v>146</v>
      </c>
      <c r="N42" t="s">
        <v>14</v>
      </c>
      <c r="O42" s="4">
        <f>_xlfn.T.INV.2T(O37,O38-2)</f>
        <v>2.0395134463964082</v>
      </c>
      <c r="Q42">
        <f t="shared" si="7"/>
        <v>6</v>
      </c>
      <c r="R42">
        <v>5.9868073481231523</v>
      </c>
      <c r="S42">
        <f t="shared" si="0"/>
        <v>5.3775811680907566</v>
      </c>
      <c r="T42" s="1">
        <f t="shared" si="1"/>
        <v>6.596033528155548</v>
      </c>
      <c r="U42" s="1">
        <f t="shared" si="2"/>
        <v>0.29871152902121334</v>
      </c>
      <c r="V42" s="1">
        <f t="shared" si="3"/>
        <v>5.9868073481231523</v>
      </c>
      <c r="W42" s="1">
        <f t="shared" si="4"/>
        <v>5.0892790451836039</v>
      </c>
      <c r="X42" s="1">
        <f t="shared" si="5"/>
        <v>6.8843356510627007</v>
      </c>
      <c r="Y42" s="1">
        <f t="shared" si="6"/>
        <v>0.44006981396733647</v>
      </c>
      <c r="Z42" s="1"/>
    </row>
    <row r="43" spans="1:27" x14ac:dyDescent="0.25">
      <c r="A43" s="23" t="s">
        <v>85</v>
      </c>
      <c r="B43" s="23" t="s">
        <v>85</v>
      </c>
      <c r="C43" s="23">
        <v>9.2742332965551206</v>
      </c>
      <c r="D43" s="23">
        <v>9.2323033137223529</v>
      </c>
      <c r="E43" s="23">
        <v>0</v>
      </c>
      <c r="F43" s="67" t="s">
        <v>146</v>
      </c>
      <c r="Q43">
        <f t="shared" si="7"/>
        <v>6.25</v>
      </c>
      <c r="R43">
        <v>6.1895737130642114</v>
      </c>
      <c r="S43">
        <f t="shared" si="0"/>
        <v>5.6325142098730545</v>
      </c>
      <c r="T43" s="1">
        <f t="shared" si="1"/>
        <v>6.7466332162553684</v>
      </c>
      <c r="U43" s="1">
        <f t="shared" si="2"/>
        <v>0.27313352808505326</v>
      </c>
      <c r="V43" s="1">
        <f t="shared" si="3"/>
        <v>6.1895737130642114</v>
      </c>
      <c r="W43" s="1">
        <f t="shared" si="4"/>
        <v>5.3266045327128735</v>
      </c>
      <c r="X43" s="1">
        <f t="shared" si="5"/>
        <v>7.0525428934155494</v>
      </c>
      <c r="Y43" s="1">
        <f t="shared" si="6"/>
        <v>0.42312502615567837</v>
      </c>
      <c r="Z43" s="1"/>
    </row>
    <row r="44" spans="1:27" x14ac:dyDescent="0.25">
      <c r="A44" s="45" t="s">
        <v>5</v>
      </c>
      <c r="B44" s="45" t="s">
        <v>86</v>
      </c>
      <c r="C44" s="45">
        <v>9.618210164706996</v>
      </c>
      <c r="D44" s="45">
        <v>9.5667577474522449</v>
      </c>
      <c r="E44" s="45">
        <v>9.0218969275173304</v>
      </c>
      <c r="F44" s="68"/>
      <c r="Q44">
        <f t="shared" si="7"/>
        <v>6.5</v>
      </c>
      <c r="R44">
        <v>6.3923400780052697</v>
      </c>
      <c r="S44">
        <f t="shared" si="0"/>
        <v>5.8872297777300853</v>
      </c>
      <c r="T44" s="1">
        <f t="shared" si="1"/>
        <v>6.8974503782804542</v>
      </c>
      <c r="U44" s="1">
        <f t="shared" si="2"/>
        <v>0.24766215744625633</v>
      </c>
      <c r="V44" s="1">
        <f t="shared" si="3"/>
        <v>6.3923400780052697</v>
      </c>
      <c r="W44" s="1">
        <f t="shared" si="4"/>
        <v>5.5619564729258055</v>
      </c>
      <c r="X44" s="1">
        <f t="shared" si="5"/>
        <v>7.2227236830847339</v>
      </c>
      <c r="Y44" s="1">
        <f t="shared" si="6"/>
        <v>0.40714789429148374</v>
      </c>
      <c r="Z44" s="1"/>
    </row>
    <row r="45" spans="1:27" x14ac:dyDescent="0.25">
      <c r="A45" s="45" t="s">
        <v>5</v>
      </c>
      <c r="B45" s="45" t="s">
        <v>87</v>
      </c>
      <c r="C45" s="45">
        <v>9.8070065676587017</v>
      </c>
      <c r="D45" s="45">
        <v>9.7328326970729684</v>
      </c>
      <c r="E45" s="45">
        <v>8.2214300805901512</v>
      </c>
      <c r="F45" s="68"/>
      <c r="Q45">
        <f t="shared" si="7"/>
        <v>6.75</v>
      </c>
      <c r="R45">
        <v>6.5951064429463289</v>
      </c>
      <c r="S45">
        <f t="shared" si="0"/>
        <v>6.1416531217738086</v>
      </c>
      <c r="T45" s="1">
        <f t="shared" si="1"/>
        <v>7.0485597641188491</v>
      </c>
      <c r="U45" s="1">
        <f t="shared" si="2"/>
        <v>0.22233406794827518</v>
      </c>
      <c r="V45" s="1">
        <f t="shared" si="3"/>
        <v>6.5951064429463289</v>
      </c>
      <c r="W45" s="1">
        <f t="shared" si="4"/>
        <v>5.7950936739088155</v>
      </c>
      <c r="X45" s="1">
        <f t="shared" si="5"/>
        <v>7.3951192119838423</v>
      </c>
      <c r="Y45" s="1">
        <f t="shared" si="6"/>
        <v>0.39225667791062929</v>
      </c>
      <c r="Z45" s="1"/>
    </row>
    <row r="46" spans="1:27" x14ac:dyDescent="0.25">
      <c r="A46" s="45" t="s">
        <v>5</v>
      </c>
      <c r="B46" s="45" t="s">
        <v>88</v>
      </c>
      <c r="C46" s="45">
        <v>9.3860527650149539</v>
      </c>
      <c r="D46" s="45">
        <v>9.3481637834513869</v>
      </c>
      <c r="E46" s="45">
        <v>8.7066711172629585</v>
      </c>
      <c r="F46" s="68"/>
      <c r="Q46">
        <f t="shared" si="7"/>
        <v>7</v>
      </c>
      <c r="R46">
        <v>6.797872807887388</v>
      </c>
      <c r="S46">
        <f t="shared" si="0"/>
        <v>6.3956716303524583</v>
      </c>
      <c r="T46" s="1">
        <f t="shared" si="1"/>
        <v>7.2000739854223177</v>
      </c>
      <c r="U46" s="1">
        <f t="shared" si="2"/>
        <v>0.19720447455032683</v>
      </c>
      <c r="V46" s="1">
        <f t="shared" si="3"/>
        <v>6.797872807887388</v>
      </c>
      <c r="W46" s="1">
        <f t="shared" si="4"/>
        <v>6.0257547447965383</v>
      </c>
      <c r="X46" s="1">
        <f t="shared" si="5"/>
        <v>7.5699908709782378</v>
      </c>
      <c r="Y46" s="1">
        <f t="shared" si="6"/>
        <v>0.37857954035806723</v>
      </c>
      <c r="Z46" s="1"/>
    </row>
    <row r="47" spans="1:27" x14ac:dyDescent="0.25">
      <c r="A47" s="45" t="s">
        <v>5</v>
      </c>
      <c r="B47" s="45" t="s">
        <v>89</v>
      </c>
      <c r="C47" s="45">
        <v>9.0179151595133717</v>
      </c>
      <c r="D47" s="45">
        <v>8.9286259937824575</v>
      </c>
      <c r="E47" s="45">
        <v>8.9129511744272421</v>
      </c>
      <c r="F47" s="68"/>
      <c r="Q47">
        <f t="shared" si="7"/>
        <v>7.25</v>
      </c>
      <c r="R47">
        <v>7.0006391728284472</v>
      </c>
      <c r="S47">
        <f t="shared" si="0"/>
        <v>6.6491081875250551</v>
      </c>
      <c r="T47" s="1">
        <f t="shared" si="1"/>
        <v>7.3521701581318393</v>
      </c>
      <c r="U47" s="1">
        <f t="shared" si="2"/>
        <v>0.17236021950456268</v>
      </c>
      <c r="V47" s="1">
        <f t="shared" si="3"/>
        <v>7.0006391728284472</v>
      </c>
      <c r="W47" s="1">
        <f t="shared" si="4"/>
        <v>6.2536622322412194</v>
      </c>
      <c r="X47" s="1">
        <f t="shared" si="5"/>
        <v>7.7476161134156749</v>
      </c>
      <c r="Y47" s="1">
        <f t="shared" si="6"/>
        <v>0.36625252062302044</v>
      </c>
      <c r="Z47" s="1"/>
    </row>
    <row r="48" spans="1:27" x14ac:dyDescent="0.25">
      <c r="A48" s="45" t="s">
        <v>5</v>
      </c>
      <c r="B48" s="45" t="s">
        <v>90</v>
      </c>
      <c r="C48" s="45">
        <v>9.1422919626813428</v>
      </c>
      <c r="D48" s="45">
        <v>9.0773381007077738</v>
      </c>
      <c r="E48" s="45">
        <v>8.936108429314281</v>
      </c>
      <c r="F48" s="68"/>
      <c r="Q48">
        <f t="shared" si="7"/>
        <v>7.5</v>
      </c>
      <c r="R48">
        <v>7.2034055377695054</v>
      </c>
      <c r="S48">
        <f t="shared" si="0"/>
        <v>6.9016694714200266</v>
      </c>
      <c r="T48" s="1">
        <f t="shared" si="1"/>
        <v>7.5051416041189842</v>
      </c>
      <c r="U48" s="1">
        <f t="shared" si="2"/>
        <v>0.14794512234406329</v>
      </c>
      <c r="V48" s="1">
        <f t="shared" si="3"/>
        <v>7.2034055377695054</v>
      </c>
      <c r="W48" s="1">
        <f t="shared" si="4"/>
        <v>6.4785295691536753</v>
      </c>
      <c r="X48" s="1">
        <f t="shared" si="5"/>
        <v>7.9282815063853356</v>
      </c>
      <c r="Y48" s="1">
        <f t="shared" si="6"/>
        <v>0.35541612628080732</v>
      </c>
      <c r="Z48" s="1"/>
    </row>
    <row r="49" spans="1:26" x14ac:dyDescent="0.25">
      <c r="A49" s="45" t="s">
        <v>5</v>
      </c>
      <c r="B49" s="45" t="s">
        <v>91</v>
      </c>
      <c r="C49" s="45">
        <v>9.4076560741470718</v>
      </c>
      <c r="D49" s="45">
        <v>9.3678596074699989</v>
      </c>
      <c r="E49" s="45">
        <v>8.7509258086363797</v>
      </c>
      <c r="F49" s="68"/>
      <c r="Q49">
        <f t="shared" si="7"/>
        <v>7.75</v>
      </c>
      <c r="R49">
        <v>7.4061719027105646</v>
      </c>
      <c r="S49">
        <f t="shared" si="0"/>
        <v>7.1528388264383684</v>
      </c>
      <c r="T49" s="1">
        <f t="shared" si="1"/>
        <v>7.6595049789827607</v>
      </c>
      <c r="U49" s="1">
        <f t="shared" si="2"/>
        <v>0.12421250603657814</v>
      </c>
      <c r="V49" s="1">
        <f t="shared" si="3"/>
        <v>7.4061719027105646</v>
      </c>
      <c r="W49" s="1">
        <f t="shared" si="4"/>
        <v>6.7000712273998726</v>
      </c>
      <c r="X49" s="1">
        <f t="shared" si="5"/>
        <v>8.1122725780212566</v>
      </c>
      <c r="Y49" s="1">
        <f t="shared" si="6"/>
        <v>0.34621035549350909</v>
      </c>
      <c r="Z49" s="1"/>
    </row>
    <row r="50" spans="1:26" x14ac:dyDescent="0.25">
      <c r="Q50">
        <f t="shared" si="7"/>
        <v>8</v>
      </c>
      <c r="R50">
        <v>7.6089382676516237</v>
      </c>
      <c r="S50">
        <f t="shared" si="0"/>
        <v>7.4016389308924202</v>
      </c>
      <c r="T50" s="1">
        <f t="shared" si="1"/>
        <v>7.8162376044108273</v>
      </c>
      <c r="U50" s="1">
        <f t="shared" si="2"/>
        <v>0.10164156413162066</v>
      </c>
      <c r="V50" s="1">
        <f t="shared" si="3"/>
        <v>7.6089382676516237</v>
      </c>
      <c r="W50" s="1">
        <f t="shared" si="4"/>
        <v>6.9180160352972964</v>
      </c>
      <c r="X50" s="1">
        <f t="shared" si="5"/>
        <v>8.2998605000059502</v>
      </c>
      <c r="Y50" s="1">
        <f t="shared" si="6"/>
        <v>0.33876816726808512</v>
      </c>
      <c r="Z50" s="1"/>
    </row>
    <row r="51" spans="1:26" x14ac:dyDescent="0.25">
      <c r="Q51">
        <f t="shared" si="7"/>
        <v>8.25</v>
      </c>
      <c r="R51">
        <v>7.8117046325926829</v>
      </c>
      <c r="S51">
        <f t="shared" si="0"/>
        <v>7.6460823025828963</v>
      </c>
      <c r="T51" s="1">
        <f t="shared" si="1"/>
        <v>7.9773269626024694</v>
      </c>
      <c r="U51" s="1">
        <f t="shared" si="2"/>
        <v>8.1206785031215437E-2</v>
      </c>
      <c r="V51" s="1">
        <f t="shared" si="3"/>
        <v>7.8117046325926829</v>
      </c>
      <c r="W51" s="1">
        <f t="shared" si="4"/>
        <v>7.1321229433613205</v>
      </c>
      <c r="X51" s="1">
        <f t="shared" si="5"/>
        <v>8.4912863218240453</v>
      </c>
      <c r="Y51" s="1">
        <f t="shared" si="6"/>
        <v>0.33320775130563962</v>
      </c>
      <c r="Z51" s="1"/>
    </row>
    <row r="52" spans="1:26" x14ac:dyDescent="0.25">
      <c r="Q52">
        <f t="shared" si="7"/>
        <v>8.5</v>
      </c>
      <c r="R52">
        <v>8.014470997533742</v>
      </c>
      <c r="S52">
        <f t="shared" si="0"/>
        <v>7.8819912969576551</v>
      </c>
      <c r="T52" s="1">
        <f t="shared" si="1"/>
        <v>8.1469506981098281</v>
      </c>
      <c r="U52" s="1">
        <f t="shared" si="2"/>
        <v>6.4956522257876445E-2</v>
      </c>
      <c r="V52" s="1">
        <f t="shared" si="3"/>
        <v>8.014470997533742</v>
      </c>
      <c r="W52" s="1">
        <f t="shared" si="4"/>
        <v>7.3421976995325418</v>
      </c>
      <c r="X52" s="1">
        <f t="shared" si="5"/>
        <v>8.6867442955349432</v>
      </c>
      <c r="Y52" s="1">
        <f t="shared" si="6"/>
        <v>0.32962435192032302</v>
      </c>
      <c r="Z52" s="1"/>
    </row>
    <row r="53" spans="1:26" x14ac:dyDescent="0.25">
      <c r="Q53">
        <f t="shared" si="7"/>
        <v>8.75</v>
      </c>
      <c r="R53">
        <v>8.2172373624748012</v>
      </c>
      <c r="S53">
        <f t="shared" si="0"/>
        <v>8.1017671948063406</v>
      </c>
      <c r="T53" s="1">
        <f t="shared" si="1"/>
        <v>8.3327075301432618</v>
      </c>
      <c r="U53" s="1">
        <f t="shared" si="2"/>
        <v>5.6616526786074109E-2</v>
      </c>
      <c r="V53" s="1">
        <f t="shared" si="3"/>
        <v>8.2172373624748012</v>
      </c>
      <c r="W53" s="1">
        <f t="shared" si="4"/>
        <v>7.5481081703436672</v>
      </c>
      <c r="X53" s="1">
        <f t="shared" si="5"/>
        <v>8.8863665546059352</v>
      </c>
      <c r="Y53" s="1">
        <f t="shared" si="6"/>
        <v>0.3280827558717056</v>
      </c>
      <c r="Z53" s="1"/>
    </row>
    <row r="54" spans="1:26" x14ac:dyDescent="0.25">
      <c r="Q54">
        <f t="shared" si="7"/>
        <v>9</v>
      </c>
      <c r="R54">
        <v>8.4200037274158603</v>
      </c>
      <c r="S54">
        <f t="shared" si="0"/>
        <v>8.2984380173334973</v>
      </c>
      <c r="T54" s="1">
        <f t="shared" si="1"/>
        <v>8.5415694374982234</v>
      </c>
      <c r="U54" s="1">
        <f t="shared" si="2"/>
        <v>5.9605250603841795E-2</v>
      </c>
      <c r="V54" s="1">
        <f t="shared" si="3"/>
        <v>8.4200037274158603</v>
      </c>
      <c r="W54" s="1">
        <f t="shared" si="4"/>
        <v>7.7497957462573916</v>
      </c>
      <c r="X54" s="1">
        <f t="shared" si="5"/>
        <v>9.0902117085743299</v>
      </c>
      <c r="Y54" s="1">
        <f t="shared" si="6"/>
        <v>0.32861170017910457</v>
      </c>
      <c r="Z54" s="1"/>
    </row>
    <row r="55" spans="1:26" x14ac:dyDescent="0.25">
      <c r="A55" t="s">
        <v>2</v>
      </c>
      <c r="B55" t="s">
        <v>171</v>
      </c>
      <c r="Q55">
        <f t="shared" si="7"/>
        <v>9.25</v>
      </c>
      <c r="R55">
        <v>8.6227700923569195</v>
      </c>
      <c r="S55">
        <f t="shared" si="0"/>
        <v>8.4748327481734123</v>
      </c>
      <c r="T55" s="1">
        <f t="shared" si="1"/>
        <v>8.7707074365404267</v>
      </c>
      <c r="U55" s="1">
        <f t="shared" si="2"/>
        <v>7.2535606198084551E-2</v>
      </c>
      <c r="V55" s="1">
        <f t="shared" si="3"/>
        <v>8.6227700923569195</v>
      </c>
      <c r="W55" s="1">
        <f t="shared" si="4"/>
        <v>7.947280659467884</v>
      </c>
      <c r="X55" s="1">
        <f t="shared" si="5"/>
        <v>9.298259525245955</v>
      </c>
      <c r="Y55" s="1">
        <f t="shared" si="6"/>
        <v>0.33120126473426775</v>
      </c>
      <c r="Z55" s="1"/>
    </row>
    <row r="56" spans="1:26" x14ac:dyDescent="0.25">
      <c r="A56" t="s">
        <v>181</v>
      </c>
      <c r="Q56">
        <f t="shared" si="7"/>
        <v>9.5</v>
      </c>
      <c r="R56">
        <v>8.8255364572979786</v>
      </c>
      <c r="S56">
        <f t="shared" si="0"/>
        <v>8.6393777416005815</v>
      </c>
      <c r="T56" s="1">
        <f t="shared" si="1"/>
        <v>9.0116951729953758</v>
      </c>
      <c r="U56" s="1">
        <f t="shared" si="2"/>
        <v>9.1276042345451794E-2</v>
      </c>
      <c r="V56" s="1">
        <f t="shared" si="3"/>
        <v>8.8255364572979786</v>
      </c>
      <c r="W56" s="1">
        <f t="shared" si="4"/>
        <v>8.140660130089346</v>
      </c>
      <c r="X56" s="1">
        <f t="shared" si="5"/>
        <v>9.5104127845066113</v>
      </c>
      <c r="Y56" s="1">
        <f t="shared" si="6"/>
        <v>0.33580378124926419</v>
      </c>
      <c r="Z56" s="1"/>
    </row>
    <row r="57" spans="1:26" x14ac:dyDescent="0.25">
      <c r="A57" t="s">
        <v>179</v>
      </c>
      <c r="F57"/>
      <c r="Q57">
        <f t="shared" si="7"/>
        <v>9.75</v>
      </c>
      <c r="R57">
        <v>9.028302822239036</v>
      </c>
      <c r="S57">
        <f t="shared" si="0"/>
        <v>8.7978965490042729</v>
      </c>
      <c r="T57" s="1">
        <f t="shared" si="1"/>
        <v>9.2587090954737992</v>
      </c>
      <c r="U57" s="1">
        <f t="shared" si="2"/>
        <v>0.11297119596924739</v>
      </c>
      <c r="V57" s="1">
        <f t="shared" si="3"/>
        <v>9.028302822239036</v>
      </c>
      <c r="W57" s="1">
        <f t="shared" si="4"/>
        <v>8.3300997236447838</v>
      </c>
      <c r="X57" s="1">
        <f t="shared" si="5"/>
        <v>9.7265059208332882</v>
      </c>
      <c r="Y57" s="1">
        <f t="shared" si="6"/>
        <v>0.34233807079227552</v>
      </c>
      <c r="Z57" s="1"/>
    </row>
    <row r="58" spans="1:26" ht="16.5" customHeight="1" x14ac:dyDescent="0.25">
      <c r="F58"/>
      <c r="Q58">
        <f t="shared" si="7"/>
        <v>10</v>
      </c>
      <c r="R58">
        <v>9.2310691871800969</v>
      </c>
      <c r="S58">
        <f t="shared" si="0"/>
        <v>8.9532537668889347</v>
      </c>
      <c r="T58" s="1">
        <f t="shared" si="1"/>
        <v>9.5088846074712592</v>
      </c>
      <c r="U58" s="1">
        <f t="shared" si="2"/>
        <v>0.13621651810240848</v>
      </c>
      <c r="V58" s="1">
        <f t="shared" si="3"/>
        <v>9.2310691871800969</v>
      </c>
      <c r="W58" s="1">
        <f t="shared" si="4"/>
        <v>8.5158196336029999</v>
      </c>
      <c r="X58" s="1">
        <f t="shared" si="5"/>
        <v>9.946318740757194</v>
      </c>
      <c r="Y58" s="1">
        <f t="shared" si="6"/>
        <v>0.35069616963833339</v>
      </c>
      <c r="Z58" s="1"/>
    </row>
    <row r="59" spans="1:26" x14ac:dyDescent="0.25">
      <c r="F59"/>
      <c r="Q59">
        <f t="shared" si="7"/>
        <v>10.25</v>
      </c>
      <c r="R59">
        <v>9.4338355521211561</v>
      </c>
      <c r="S59">
        <f t="shared" si="0"/>
        <v>9.1068215792591829</v>
      </c>
      <c r="T59" s="1">
        <f t="shared" si="1"/>
        <v>9.7608495249831293</v>
      </c>
      <c r="U59" s="1">
        <f t="shared" si="2"/>
        <v>0.16033920905977345</v>
      </c>
      <c r="V59" s="1">
        <f t="shared" si="3"/>
        <v>9.4338355521211561</v>
      </c>
      <c r="W59" s="1">
        <f t="shared" si="4"/>
        <v>8.6980783539996214</v>
      </c>
      <c r="X59" s="1">
        <f t="shared" si="5"/>
        <v>10.169592750242691</v>
      </c>
      <c r="Y59" s="1">
        <f t="shared" si="6"/>
        <v>0.360751334795824</v>
      </c>
      <c r="Z59" s="1"/>
    </row>
    <row r="60" spans="1:26" x14ac:dyDescent="0.25">
      <c r="F60"/>
      <c r="Q60">
        <f t="shared" si="7"/>
        <v>10.5</v>
      </c>
      <c r="R60">
        <v>9.6366019170622117</v>
      </c>
      <c r="S60">
        <f t="shared" si="0"/>
        <v>9.2592993291673213</v>
      </c>
      <c r="T60" s="1">
        <f t="shared" si="1"/>
        <v>10.013904504957102</v>
      </c>
      <c r="U60" s="1">
        <f t="shared" si="2"/>
        <v>0.18499637183640114</v>
      </c>
      <c r="V60" s="1">
        <f t="shared" si="3"/>
        <v>9.6366019170622117</v>
      </c>
      <c r="W60" s="1">
        <f t="shared" si="4"/>
        <v>8.8771562251441765</v>
      </c>
      <c r="X60" s="1">
        <f t="shared" si="5"/>
        <v>10.396047608980247</v>
      </c>
      <c r="Y60" s="1">
        <f t="shared" si="6"/>
        <v>0.37236611176057216</v>
      </c>
      <c r="Z60" s="1"/>
    </row>
    <row r="61" spans="1:26" x14ac:dyDescent="0.25">
      <c r="A61" t="s">
        <v>149</v>
      </c>
      <c r="F61"/>
      <c r="Q61">
        <f t="shared" si="7"/>
        <v>10.75</v>
      </c>
      <c r="R61">
        <v>9.8393682820032708</v>
      </c>
      <c r="S61">
        <f t="shared" si="0"/>
        <v>9.411070814222775</v>
      </c>
      <c r="T61" s="1">
        <f t="shared" si="1"/>
        <v>10.267665749783767</v>
      </c>
      <c r="U61" s="1">
        <f t="shared" si="2"/>
        <v>0.20999982546682872</v>
      </c>
      <c r="V61" s="1">
        <f t="shared" si="3"/>
        <v>9.8393682820032708</v>
      </c>
      <c r="W61" s="1">
        <f t="shared" si="4"/>
        <v>9.053340778001111</v>
      </c>
      <c r="X61" s="1">
        <f t="shared" si="5"/>
        <v>10.625395786005431</v>
      </c>
      <c r="Y61" s="1">
        <f t="shared" si="6"/>
        <v>0.3853995203566728</v>
      </c>
      <c r="Z61" s="1"/>
    </row>
    <row r="62" spans="1:26" ht="15.75" thickBot="1" x14ac:dyDescent="0.3">
      <c r="F62"/>
      <c r="Q62" s="8">
        <f t="shared" si="7"/>
        <v>11</v>
      </c>
      <c r="R62" s="8">
        <v>10.04213464694433</v>
      </c>
      <c r="S62" s="8">
        <f t="shared" si="0"/>
        <v>9.5623611872031908</v>
      </c>
      <c r="T62" s="69">
        <f t="shared" si="1"/>
        <v>10.521908106685469</v>
      </c>
      <c r="U62" s="69">
        <f t="shared" si="2"/>
        <v>0.23523917461237898</v>
      </c>
      <c r="V62" s="69">
        <f t="shared" si="3"/>
        <v>10.04213464694433</v>
      </c>
      <c r="W62" s="69">
        <f t="shared" si="4"/>
        <v>9.2269149901568692</v>
      </c>
      <c r="X62" s="69">
        <f t="shared" si="5"/>
        <v>10.857354303731791</v>
      </c>
      <c r="Y62" s="69">
        <f t="shared" si="6"/>
        <v>0.39971281298873607</v>
      </c>
      <c r="Z62" s="1"/>
    </row>
    <row r="63" spans="1:26" x14ac:dyDescent="0.25">
      <c r="A63" s="71" t="s">
        <v>150</v>
      </c>
      <c r="B63" s="71"/>
      <c r="F63"/>
    </row>
    <row r="64" spans="1:26" x14ac:dyDescent="0.25">
      <c r="A64" t="s">
        <v>151</v>
      </c>
      <c r="B64">
        <v>0.81003957702736029</v>
      </c>
      <c r="F64"/>
    </row>
    <row r="65" spans="1:9" x14ac:dyDescent="0.25">
      <c r="A65" t="s">
        <v>152</v>
      </c>
      <c r="B65">
        <v>0.65616411635066474</v>
      </c>
      <c r="F65"/>
    </row>
    <row r="66" spans="1:9" x14ac:dyDescent="0.25">
      <c r="A66" t="s">
        <v>153</v>
      </c>
      <c r="B66">
        <v>0.6450726362329442</v>
      </c>
      <c r="F66"/>
    </row>
    <row r="67" spans="1:9" x14ac:dyDescent="0.25">
      <c r="A67" t="s">
        <v>154</v>
      </c>
      <c r="B67">
        <v>0.3231607395632316</v>
      </c>
      <c r="F67"/>
    </row>
    <row r="68" spans="1:9" ht="15.75" thickBot="1" x14ac:dyDescent="0.3">
      <c r="A68" s="19" t="s">
        <v>103</v>
      </c>
      <c r="B68" s="19">
        <v>33</v>
      </c>
      <c r="F68"/>
    </row>
    <row r="69" spans="1:9" x14ac:dyDescent="0.25">
      <c r="F69"/>
    </row>
    <row r="70" spans="1:9" ht="15.75" thickBot="1" x14ac:dyDescent="0.3">
      <c r="A70" t="s">
        <v>155</v>
      </c>
      <c r="F70"/>
    </row>
    <row r="71" spans="1:9" x14ac:dyDescent="0.25">
      <c r="A71" s="70"/>
      <c r="B71" s="70" t="s">
        <v>8</v>
      </c>
      <c r="C71" s="70" t="s">
        <v>160</v>
      </c>
      <c r="D71" s="70" t="s">
        <v>161</v>
      </c>
      <c r="E71" s="70" t="s">
        <v>104</v>
      </c>
      <c r="F71" s="70" t="s">
        <v>162</v>
      </c>
    </row>
    <row r="72" spans="1:9" x14ac:dyDescent="0.25">
      <c r="A72" t="s">
        <v>156</v>
      </c>
      <c r="B72">
        <v>1</v>
      </c>
      <c r="C72">
        <v>6.1781743222293954</v>
      </c>
      <c r="D72">
        <v>6.1781743222293954</v>
      </c>
      <c r="E72">
        <v>59.159292482734813</v>
      </c>
      <c r="F72">
        <v>1.1247020845861905E-8</v>
      </c>
    </row>
    <row r="73" spans="1:9" x14ac:dyDescent="0.25">
      <c r="A73" t="s">
        <v>157</v>
      </c>
      <c r="B73">
        <v>31</v>
      </c>
      <c r="C73">
        <v>3.2374187714466989</v>
      </c>
      <c r="D73">
        <v>0.1044328635950548</v>
      </c>
      <c r="F73"/>
    </row>
    <row r="74" spans="1:9" ht="15.75" thickBot="1" x14ac:dyDescent="0.3">
      <c r="A74" s="19" t="s">
        <v>158</v>
      </c>
      <c r="B74" s="19">
        <v>32</v>
      </c>
      <c r="C74" s="19">
        <v>9.4155930936760939</v>
      </c>
      <c r="D74" s="19"/>
      <c r="E74" s="19"/>
      <c r="F74" s="19"/>
    </row>
    <row r="75" spans="1:9" ht="15.75" thickBot="1" x14ac:dyDescent="0.3">
      <c r="F75"/>
    </row>
    <row r="76" spans="1:9" x14ac:dyDescent="0.25">
      <c r="A76" s="70"/>
      <c r="B76" s="70" t="s">
        <v>163</v>
      </c>
      <c r="C76" s="70" t="s">
        <v>154</v>
      </c>
      <c r="D76" s="70" t="s">
        <v>164</v>
      </c>
      <c r="E76" s="70" t="s">
        <v>165</v>
      </c>
      <c r="F76" s="70" t="s">
        <v>166</v>
      </c>
      <c r="G76" s="70" t="s">
        <v>167</v>
      </c>
      <c r="H76" s="70" t="s">
        <v>168</v>
      </c>
      <c r="I76" s="70" t="s">
        <v>169</v>
      </c>
    </row>
    <row r="77" spans="1:9" x14ac:dyDescent="0.25">
      <c r="A77" t="s">
        <v>159</v>
      </c>
      <c r="B77">
        <v>1.242503348118575</v>
      </c>
      <c r="C77">
        <v>0.92122217794554739</v>
      </c>
      <c r="D77">
        <v>1.3487553576809548</v>
      </c>
      <c r="E77">
        <v>0.18718665570139026</v>
      </c>
      <c r="F77">
        <v>-0.63634167091995364</v>
      </c>
      <c r="G77">
        <v>3.1213483671571036</v>
      </c>
      <c r="H77">
        <v>-0.63634167091995364</v>
      </c>
      <c r="I77">
        <v>3.1213483671571036</v>
      </c>
    </row>
    <row r="78" spans="1:9" ht="15.75" thickBot="1" x14ac:dyDescent="0.3">
      <c r="A78" s="19" t="s">
        <v>170</v>
      </c>
      <c r="B78" s="19">
        <v>0.80265547041456764</v>
      </c>
      <c r="C78" s="19">
        <v>0.10435606250710243</v>
      </c>
      <c r="D78" s="19">
        <v>7.6915078159444663</v>
      </c>
      <c r="E78" s="19">
        <v>1.1247020845861905E-8</v>
      </c>
      <c r="F78" s="19">
        <v>0.58981987771834821</v>
      </c>
      <c r="G78" s="19">
        <v>1.0154910631107872</v>
      </c>
      <c r="H78" s="19">
        <v>0.58981987771834821</v>
      </c>
      <c r="I78" s="19">
        <v>1.0154910631107872</v>
      </c>
    </row>
    <row r="79" spans="1:9" x14ac:dyDescent="0.25">
      <c r="F79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6FA3-217B-46FA-BF52-0E0BEE802941}">
  <dimension ref="A1:P123"/>
  <sheetViews>
    <sheetView topLeftCell="A54" zoomScaleNormal="100" workbookViewId="0">
      <selection activeCell="L125" sqref="L125"/>
    </sheetView>
  </sheetViews>
  <sheetFormatPr defaultRowHeight="15" x14ac:dyDescent="0.25"/>
  <cols>
    <col min="3" max="3" width="12.7109375" bestFit="1" customWidth="1"/>
    <col min="4" max="4" width="17.42578125" customWidth="1"/>
    <col min="5" max="5" width="18.28515625" bestFit="1" customWidth="1"/>
    <col min="6" max="6" width="12" bestFit="1" customWidth="1"/>
    <col min="10" max="10" width="12.7109375" bestFit="1" customWidth="1"/>
    <col min="16" max="16" width="32.5703125" customWidth="1"/>
    <col min="17" max="17" width="27.140625" customWidth="1"/>
  </cols>
  <sheetData>
    <row r="1" spans="1:9" x14ac:dyDescent="0.25">
      <c r="A1" t="s">
        <v>0</v>
      </c>
      <c r="B1" t="s">
        <v>143</v>
      </c>
      <c r="C1" t="s">
        <v>142</v>
      </c>
      <c r="D1" s="10" t="s">
        <v>22</v>
      </c>
      <c r="E1" t="s">
        <v>42</v>
      </c>
      <c r="I1" t="s">
        <v>176</v>
      </c>
    </row>
    <row r="2" spans="1:9" x14ac:dyDescent="0.25">
      <c r="A2" t="s">
        <v>3</v>
      </c>
      <c r="B2">
        <v>7.8010060921492332</v>
      </c>
      <c r="C2">
        <v>8.1886280846892312</v>
      </c>
      <c r="D2" s="11">
        <f>AVERAGE(B2:C2)</f>
        <v>7.9948170884192322</v>
      </c>
      <c r="E2" s="11">
        <f>B2-C2</f>
        <v>-0.38762199253999796</v>
      </c>
    </row>
    <row r="3" spans="1:9" x14ac:dyDescent="0.25">
      <c r="A3" s="16" t="s">
        <v>3</v>
      </c>
      <c r="B3" s="16">
        <v>8.3420769004355328</v>
      </c>
      <c r="C3" s="16">
        <v>8.8073631419576675</v>
      </c>
      <c r="D3" s="17">
        <f t="shared" ref="D3:D34" si="0">AVERAGE(B3:C3)</f>
        <v>8.574720021196601</v>
      </c>
      <c r="E3" s="17">
        <f t="shared" ref="E3:E34" si="1">B3-C3</f>
        <v>-0.4652862415221346</v>
      </c>
    </row>
    <row r="4" spans="1:9" x14ac:dyDescent="0.25">
      <c r="A4" t="s">
        <v>3</v>
      </c>
      <c r="B4">
        <v>7.8036145379865518</v>
      </c>
      <c r="C4">
        <v>8.1886280846892312</v>
      </c>
      <c r="D4" s="11">
        <f t="shared" si="0"/>
        <v>7.9961213113378911</v>
      </c>
      <c r="E4" s="11">
        <f t="shared" si="1"/>
        <v>-0.3850135467026794</v>
      </c>
    </row>
    <row r="5" spans="1:9" x14ac:dyDescent="0.25">
      <c r="A5" t="s">
        <v>3</v>
      </c>
      <c r="B5">
        <v>7.7822420381159683</v>
      </c>
      <c r="C5">
        <v>7.7347758523589683</v>
      </c>
      <c r="D5" s="11">
        <f t="shared" si="0"/>
        <v>7.7585089452374678</v>
      </c>
      <c r="E5" s="11">
        <f t="shared" si="1"/>
        <v>4.7466185757000012E-2</v>
      </c>
    </row>
    <row r="6" spans="1:9" x14ac:dyDescent="0.25">
      <c r="A6" t="s">
        <v>4</v>
      </c>
      <c r="B6">
        <v>7.8218768070207103</v>
      </c>
      <c r="C6">
        <v>8.3194936964926871</v>
      </c>
      <c r="D6" s="11">
        <f t="shared" si="0"/>
        <v>8.0706852517566983</v>
      </c>
      <c r="E6" s="11">
        <f t="shared" si="1"/>
        <v>-0.4976168894719768</v>
      </c>
    </row>
    <row r="7" spans="1:9" x14ac:dyDescent="0.25">
      <c r="A7" t="s">
        <v>4</v>
      </c>
      <c r="B7">
        <v>8.0190586454557842</v>
      </c>
      <c r="C7">
        <v>8.6964437922704736</v>
      </c>
      <c r="D7" s="11">
        <f t="shared" si="0"/>
        <v>8.3577512188631289</v>
      </c>
      <c r="E7" s="11">
        <f t="shared" si="1"/>
        <v>-0.67738514681468942</v>
      </c>
    </row>
    <row r="8" spans="1:9" x14ac:dyDescent="0.25">
      <c r="A8" t="s">
        <v>4</v>
      </c>
      <c r="B8">
        <v>7.484465321548373</v>
      </c>
      <c r="C8">
        <v>7.8563273221240033</v>
      </c>
      <c r="D8" s="11">
        <f t="shared" si="0"/>
        <v>7.6703963218361881</v>
      </c>
      <c r="E8" s="11">
        <f t="shared" si="1"/>
        <v>-0.37186200057563035</v>
      </c>
    </row>
    <row r="9" spans="1:9" x14ac:dyDescent="0.25">
      <c r="A9" t="s">
        <v>4</v>
      </c>
      <c r="B9">
        <v>7.5762906186122363</v>
      </c>
      <c r="C9">
        <v>8.3941183312560934</v>
      </c>
      <c r="D9" s="11">
        <f t="shared" si="0"/>
        <v>7.9852044749341644</v>
      </c>
      <c r="E9" s="11">
        <f t="shared" si="1"/>
        <v>-0.81782771264385712</v>
      </c>
    </row>
    <row r="10" spans="1:9" x14ac:dyDescent="0.25">
      <c r="A10" t="s">
        <v>4</v>
      </c>
      <c r="B10">
        <v>7.959097229431511</v>
      </c>
      <c r="C10">
        <v>7.9305691490684538</v>
      </c>
      <c r="D10" s="11">
        <f t="shared" si="0"/>
        <v>7.9448331892499819</v>
      </c>
      <c r="E10" s="11">
        <f t="shared" si="1"/>
        <v>2.8528080363057207E-2</v>
      </c>
    </row>
    <row r="11" spans="1:9" x14ac:dyDescent="0.25">
      <c r="A11" t="s">
        <v>4</v>
      </c>
      <c r="B11">
        <v>7.8535353114309956</v>
      </c>
      <c r="C11">
        <v>8.4405588330644097</v>
      </c>
      <c r="D11" s="11">
        <f t="shared" si="0"/>
        <v>8.1470470722477017</v>
      </c>
      <c r="E11" s="11">
        <f t="shared" si="1"/>
        <v>-0.58702352163341409</v>
      </c>
    </row>
    <row r="12" spans="1:9" x14ac:dyDescent="0.25">
      <c r="A12" t="s">
        <v>5</v>
      </c>
      <c r="B12">
        <v>9.0296265704866769</v>
      </c>
      <c r="C12">
        <v>8.9932665341224087</v>
      </c>
      <c r="D12" s="11">
        <f t="shared" si="0"/>
        <v>9.0114465523045428</v>
      </c>
      <c r="E12" s="11">
        <f t="shared" si="1"/>
        <v>3.6360036364268211E-2</v>
      </c>
    </row>
    <row r="13" spans="1:9" x14ac:dyDescent="0.25">
      <c r="A13" t="s">
        <v>5</v>
      </c>
      <c r="B13">
        <v>8.5882150418302601</v>
      </c>
      <c r="C13">
        <v>9.3698027627560005</v>
      </c>
      <c r="D13" s="11">
        <f t="shared" si="0"/>
        <v>8.9790089022931312</v>
      </c>
      <c r="E13" s="11">
        <f t="shared" si="1"/>
        <v>-0.78158772092574047</v>
      </c>
    </row>
    <row r="14" spans="1:9" x14ac:dyDescent="0.25">
      <c r="A14" t="s">
        <v>5</v>
      </c>
      <c r="B14">
        <v>9.0099672838335625</v>
      </c>
      <c r="C14">
        <v>9.73477585235897</v>
      </c>
      <c r="D14" s="11">
        <f t="shared" si="0"/>
        <v>9.3723715680962663</v>
      </c>
      <c r="E14" s="11">
        <f t="shared" si="1"/>
        <v>-0.72480856852540754</v>
      </c>
    </row>
    <row r="15" spans="1:9" x14ac:dyDescent="0.25">
      <c r="A15" t="s">
        <v>5</v>
      </c>
      <c r="B15">
        <v>8.7802901232329518</v>
      </c>
      <c r="C15">
        <v>9.4405588330644132</v>
      </c>
      <c r="D15" s="11">
        <f t="shared" si="0"/>
        <v>9.1104244781486834</v>
      </c>
      <c r="E15" s="11">
        <f t="shared" si="1"/>
        <v>-0.66026870983146146</v>
      </c>
    </row>
    <row r="16" spans="1:9" x14ac:dyDescent="0.25">
      <c r="A16" t="s">
        <v>5</v>
      </c>
      <c r="B16">
        <v>9.0422706215029169</v>
      </c>
      <c r="C16">
        <v>9.3900313382247553</v>
      </c>
      <c r="D16" s="11">
        <f t="shared" si="0"/>
        <v>9.216150979863837</v>
      </c>
      <c r="E16" s="11">
        <f t="shared" si="1"/>
        <v>-0.34776071672183839</v>
      </c>
    </row>
    <row r="17" spans="1:16" x14ac:dyDescent="0.25">
      <c r="A17" t="s">
        <v>5</v>
      </c>
      <c r="B17">
        <v>9.097594738939863</v>
      </c>
      <c r="C17">
        <v>9.3194936964926764</v>
      </c>
      <c r="D17" s="11">
        <f t="shared" si="0"/>
        <v>9.2085442177162697</v>
      </c>
      <c r="E17" s="11">
        <f t="shared" si="1"/>
        <v>-0.22189895755281341</v>
      </c>
    </row>
    <row r="18" spans="1:16" x14ac:dyDescent="0.25">
      <c r="A18" t="s">
        <v>6</v>
      </c>
      <c r="B18">
        <v>8.3688831300769664</v>
      </c>
      <c r="C18">
        <v>8.9049021797530337</v>
      </c>
      <c r="D18" s="11">
        <f t="shared" si="0"/>
        <v>8.636892654915</v>
      </c>
      <c r="E18" s="11">
        <f t="shared" si="1"/>
        <v>-0.53601904967606728</v>
      </c>
    </row>
    <row r="19" spans="1:16" x14ac:dyDescent="0.25">
      <c r="A19" t="s">
        <v>6</v>
      </c>
      <c r="B19">
        <v>8.6479740309110671</v>
      </c>
      <c r="C19">
        <v>8.9049021797530337</v>
      </c>
      <c r="D19" s="11">
        <f t="shared" si="0"/>
        <v>8.7764381053320513</v>
      </c>
      <c r="E19" s="11">
        <f t="shared" si="1"/>
        <v>-0.25692814884196657</v>
      </c>
    </row>
    <row r="20" spans="1:16" x14ac:dyDescent="0.25">
      <c r="A20" t="s">
        <v>6</v>
      </c>
      <c r="B20">
        <v>8.7286939638031917</v>
      </c>
      <c r="C20">
        <v>8.6875136349547581</v>
      </c>
      <c r="D20" s="11">
        <f t="shared" si="0"/>
        <v>8.7081037993789749</v>
      </c>
      <c r="E20" s="11">
        <f t="shared" si="1"/>
        <v>4.1180328848433589E-2</v>
      </c>
    </row>
    <row r="21" spans="1:16" x14ac:dyDescent="0.25">
      <c r="A21" t="s">
        <v>6</v>
      </c>
      <c r="B21">
        <v>8.7160140251297094</v>
      </c>
      <c r="C21">
        <v>9.1495116736567876</v>
      </c>
      <c r="D21" s="11">
        <f t="shared" si="0"/>
        <v>8.9327628493932494</v>
      </c>
      <c r="E21" s="11">
        <f t="shared" si="1"/>
        <v>-0.43349764852707828</v>
      </c>
    </row>
    <row r="22" spans="1:16" x14ac:dyDescent="0.25">
      <c r="A22" t="s">
        <v>6</v>
      </c>
      <c r="B22">
        <v>8.7664365835732578</v>
      </c>
      <c r="C22">
        <v>9.2323033137223529</v>
      </c>
      <c r="D22" s="11">
        <f t="shared" si="0"/>
        <v>8.9993699486478054</v>
      </c>
      <c r="E22" s="11">
        <f t="shared" si="1"/>
        <v>-0.46586673014909508</v>
      </c>
    </row>
    <row r="23" spans="1:16" x14ac:dyDescent="0.25">
      <c r="A23" t="s">
        <v>7</v>
      </c>
      <c r="B23">
        <v>8.0678531344129869</v>
      </c>
      <c r="C23">
        <v>8.8036130171770157</v>
      </c>
      <c r="D23" s="11">
        <f t="shared" si="0"/>
        <v>8.4357330757950013</v>
      </c>
      <c r="E23" s="11">
        <f t="shared" si="1"/>
        <v>-0.73575988276402882</v>
      </c>
      <c r="L23" s="84" t="s">
        <v>76</v>
      </c>
      <c r="M23" s="84"/>
      <c r="N23" s="84"/>
      <c r="O23" s="84"/>
      <c r="P23" s="84"/>
    </row>
    <row r="24" spans="1:16" x14ac:dyDescent="0.25">
      <c r="A24" t="s">
        <v>7</v>
      </c>
      <c r="B24">
        <v>7.7497722979332098</v>
      </c>
      <c r="C24">
        <v>8.1866849294032296</v>
      </c>
      <c r="D24" s="11">
        <f t="shared" si="0"/>
        <v>7.9682286136682201</v>
      </c>
      <c r="E24" s="11">
        <f t="shared" si="1"/>
        <v>-0.4369126314700198</v>
      </c>
      <c r="I24" t="s">
        <v>65</v>
      </c>
      <c r="K24" s="14"/>
      <c r="L24" t="s">
        <v>68</v>
      </c>
      <c r="M24" t="s">
        <v>71</v>
      </c>
      <c r="N24" s="14"/>
      <c r="O24" t="s">
        <v>68</v>
      </c>
      <c r="P24" t="s">
        <v>72</v>
      </c>
    </row>
    <row r="25" spans="1:16" x14ac:dyDescent="0.25">
      <c r="A25" t="s">
        <v>7</v>
      </c>
      <c r="B25">
        <v>7.547630699023073</v>
      </c>
      <c r="C25">
        <v>8.36785960747007</v>
      </c>
      <c r="D25" s="11">
        <f t="shared" si="0"/>
        <v>7.9577451532465719</v>
      </c>
      <c r="E25" s="11">
        <f t="shared" si="1"/>
        <v>-0.82022890844699692</v>
      </c>
      <c r="I25" t="s">
        <v>15</v>
      </c>
      <c r="J25" t="s">
        <v>16</v>
      </c>
      <c r="K25" s="14"/>
      <c r="L25" t="s">
        <v>15</v>
      </c>
      <c r="M25" t="s">
        <v>16</v>
      </c>
      <c r="N25" s="14"/>
      <c r="O25" t="s">
        <v>15</v>
      </c>
      <c r="P25" t="s">
        <v>16</v>
      </c>
    </row>
    <row r="26" spans="1:16" x14ac:dyDescent="0.25">
      <c r="A26" t="s">
        <v>7</v>
      </c>
      <c r="B26">
        <v>7.4915420585084975</v>
      </c>
      <c r="C26">
        <v>8.5058256606117801</v>
      </c>
      <c r="D26" s="11">
        <f t="shared" si="0"/>
        <v>7.9986838595601384</v>
      </c>
      <c r="E26" s="11">
        <f t="shared" si="1"/>
        <v>-1.0142836021032826</v>
      </c>
      <c r="I26">
        <v>7</v>
      </c>
      <c r="J26" s="11">
        <f>E37</f>
        <v>-0.4963403002592589</v>
      </c>
      <c r="K26" s="14"/>
      <c r="L26">
        <v>7</v>
      </c>
      <c r="M26" s="11">
        <f>E95</f>
        <v>-0.29069444476002504</v>
      </c>
      <c r="N26" s="14"/>
      <c r="O26">
        <v>7</v>
      </c>
      <c r="P26" s="11">
        <f>D95</f>
        <v>-0.70198615575849277</v>
      </c>
    </row>
    <row r="27" spans="1:16" x14ac:dyDescent="0.25">
      <c r="A27" t="s">
        <v>7</v>
      </c>
      <c r="B27">
        <v>7.9397390854947822</v>
      </c>
      <c r="C27">
        <v>8.694500636984472</v>
      </c>
      <c r="D27" s="11">
        <f t="shared" si="0"/>
        <v>8.3171198612396271</v>
      </c>
      <c r="E27" s="11">
        <f t="shared" si="1"/>
        <v>-0.75476155148968971</v>
      </c>
      <c r="I27">
        <v>10</v>
      </c>
      <c r="J27" s="11">
        <f>E37</f>
        <v>-0.4963403002592589</v>
      </c>
      <c r="K27" s="14"/>
      <c r="L27">
        <v>10</v>
      </c>
      <c r="M27" s="11">
        <f>E95</f>
        <v>-0.29069444476002504</v>
      </c>
      <c r="N27" s="14"/>
      <c r="O27">
        <v>10</v>
      </c>
      <c r="P27" s="11">
        <f>D95</f>
        <v>-0.70198615575849277</v>
      </c>
    </row>
    <row r="28" spans="1:16" x14ac:dyDescent="0.25">
      <c r="A28" t="s">
        <v>7</v>
      </c>
      <c r="B28">
        <v>7.8248753918418315</v>
      </c>
      <c r="C28">
        <v>8.5058256606117801</v>
      </c>
      <c r="D28" s="11">
        <f t="shared" si="0"/>
        <v>8.1653505262268062</v>
      </c>
      <c r="E28" s="11">
        <f t="shared" si="1"/>
        <v>-0.68095026876994869</v>
      </c>
      <c r="K28" s="14"/>
      <c r="N28" s="14"/>
    </row>
    <row r="29" spans="1:16" x14ac:dyDescent="0.25">
      <c r="A29" t="s">
        <v>5</v>
      </c>
      <c r="B29">
        <v>9.0218969275173304</v>
      </c>
      <c r="C29">
        <v>9.5667577474522449</v>
      </c>
      <c r="D29" s="11">
        <f t="shared" si="0"/>
        <v>9.2943273374847877</v>
      </c>
      <c r="E29" s="11">
        <f t="shared" si="1"/>
        <v>-0.54486081993491453</v>
      </c>
      <c r="I29" t="s">
        <v>66</v>
      </c>
      <c r="K29" s="14"/>
      <c r="L29" t="s">
        <v>69</v>
      </c>
      <c r="M29" t="s">
        <v>74</v>
      </c>
      <c r="N29" s="14"/>
      <c r="O29" t="s">
        <v>69</v>
      </c>
      <c r="P29" t="s">
        <v>75</v>
      </c>
    </row>
    <row r="30" spans="1:16" x14ac:dyDescent="0.25">
      <c r="A30" t="s">
        <v>5</v>
      </c>
      <c r="B30">
        <v>8.2214300805901512</v>
      </c>
      <c r="C30">
        <v>9.7328326970729684</v>
      </c>
      <c r="D30" s="11">
        <f t="shared" si="0"/>
        <v>8.9771313888315589</v>
      </c>
      <c r="E30" s="11">
        <f t="shared" si="1"/>
        <v>-1.5114026164828172</v>
      </c>
      <c r="K30" s="14"/>
      <c r="N30" s="14"/>
    </row>
    <row r="31" spans="1:16" x14ac:dyDescent="0.25">
      <c r="A31" t="s">
        <v>5</v>
      </c>
      <c r="B31">
        <v>8.7066711172629585</v>
      </c>
      <c r="C31">
        <v>9.3481637834513869</v>
      </c>
      <c r="D31" s="11">
        <f t="shared" si="0"/>
        <v>9.0274174503571736</v>
      </c>
      <c r="E31" s="11">
        <f t="shared" si="1"/>
        <v>-0.64149266618842837</v>
      </c>
      <c r="I31" t="s">
        <v>15</v>
      </c>
      <c r="J31" t="s">
        <v>16</v>
      </c>
      <c r="K31" s="14"/>
      <c r="L31" t="s">
        <v>15</v>
      </c>
      <c r="M31" t="s">
        <v>16</v>
      </c>
      <c r="N31" s="14"/>
      <c r="O31" t="s">
        <v>15</v>
      </c>
      <c r="P31" t="s">
        <v>16</v>
      </c>
    </row>
    <row r="32" spans="1:16" x14ac:dyDescent="0.25">
      <c r="A32" t="s">
        <v>5</v>
      </c>
      <c r="B32">
        <v>8.9129511744272421</v>
      </c>
      <c r="C32">
        <v>8.9286259937824575</v>
      </c>
      <c r="D32" s="11">
        <f t="shared" si="0"/>
        <v>8.9207885841048498</v>
      </c>
      <c r="E32" s="11">
        <f t="shared" si="1"/>
        <v>-1.5674819355215419E-2</v>
      </c>
      <c r="I32">
        <v>7</v>
      </c>
      <c r="J32" s="10">
        <f>E41</f>
        <v>-1.1547374547768585</v>
      </c>
      <c r="K32" s="14"/>
      <c r="L32">
        <v>7</v>
      </c>
      <c r="M32" s="11">
        <f>E96</f>
        <v>-0.94909159927762465</v>
      </c>
      <c r="N32" s="14"/>
      <c r="O32">
        <v>7</v>
      </c>
      <c r="P32" s="11">
        <f>D96</f>
        <v>-1.3603833102760925</v>
      </c>
    </row>
    <row r="33" spans="1:16" x14ac:dyDescent="0.25">
      <c r="A33" t="s">
        <v>5</v>
      </c>
      <c r="B33">
        <v>8.936108429314281</v>
      </c>
      <c r="C33">
        <v>9.0773381007077738</v>
      </c>
      <c r="D33" s="11">
        <f t="shared" si="0"/>
        <v>9.0067232650110274</v>
      </c>
      <c r="E33" s="11">
        <f t="shared" si="1"/>
        <v>-0.14122967139349285</v>
      </c>
      <c r="I33">
        <v>10</v>
      </c>
      <c r="J33" s="10">
        <f>E41</f>
        <v>-1.1547374547768585</v>
      </c>
      <c r="K33" s="14"/>
      <c r="L33">
        <v>10</v>
      </c>
      <c r="M33" s="11">
        <f>E96</f>
        <v>-0.94909159927762465</v>
      </c>
      <c r="N33" s="14"/>
      <c r="O33">
        <v>10</v>
      </c>
      <c r="P33" s="11">
        <f>D96</f>
        <v>-1.3603833102760925</v>
      </c>
    </row>
    <row r="34" spans="1:16" x14ac:dyDescent="0.25">
      <c r="A34" t="s">
        <v>5</v>
      </c>
      <c r="B34">
        <v>8.7509258086363797</v>
      </c>
      <c r="C34">
        <v>9.3678596074699989</v>
      </c>
      <c r="D34" s="11">
        <f t="shared" si="0"/>
        <v>9.0593927080531884</v>
      </c>
      <c r="E34" s="11">
        <f t="shared" si="1"/>
        <v>-0.61693379883361921</v>
      </c>
      <c r="K34" s="14"/>
      <c r="N34" s="14"/>
    </row>
    <row r="35" spans="1:16" x14ac:dyDescent="0.25">
      <c r="D35" s="11"/>
      <c r="E35" s="11"/>
      <c r="K35" s="14"/>
      <c r="N35" s="14"/>
    </row>
    <row r="36" spans="1:16" x14ac:dyDescent="0.25">
      <c r="D36" s="11"/>
      <c r="E36" s="11"/>
      <c r="I36" t="s">
        <v>67</v>
      </c>
      <c r="K36" s="14"/>
      <c r="L36" t="s">
        <v>70</v>
      </c>
      <c r="M36" t="s">
        <v>73</v>
      </c>
      <c r="N36" s="14"/>
      <c r="O36" t="s">
        <v>70</v>
      </c>
      <c r="P36" t="s">
        <v>77</v>
      </c>
    </row>
    <row r="37" spans="1:16" x14ac:dyDescent="0.25">
      <c r="C37" t="s">
        <v>23</v>
      </c>
      <c r="D37" s="11"/>
      <c r="E37" s="11">
        <f>AVERAGE(E2:E34)</f>
        <v>-0.4963403002592589</v>
      </c>
      <c r="I37" t="s">
        <v>15</v>
      </c>
      <c r="J37" t="s">
        <v>16</v>
      </c>
      <c r="K37" s="14"/>
      <c r="L37" t="s">
        <v>15</v>
      </c>
      <c r="M37" t="s">
        <v>16</v>
      </c>
      <c r="N37" s="14"/>
      <c r="O37" t="s">
        <v>15</v>
      </c>
      <c r="P37" t="s">
        <v>16</v>
      </c>
    </row>
    <row r="38" spans="1:16" x14ac:dyDescent="0.25">
      <c r="C38" t="s">
        <v>24</v>
      </c>
      <c r="D38" s="11"/>
      <c r="E38" s="11">
        <f>_xlfn.STDEV.S(E2:E34)</f>
        <v>0.33591691557020387</v>
      </c>
      <c r="I38">
        <v>7</v>
      </c>
      <c r="J38" s="10">
        <f>E42</f>
        <v>0.16205685425834071</v>
      </c>
      <c r="K38" s="14"/>
      <c r="L38">
        <v>7</v>
      </c>
      <c r="M38" s="11">
        <f>E97</f>
        <v>0.36770270975757458</v>
      </c>
      <c r="N38" s="14"/>
      <c r="O38">
        <v>7</v>
      </c>
      <c r="P38" s="11">
        <f>D97</f>
        <v>-4.3589001240893183E-2</v>
      </c>
    </row>
    <row r="39" spans="1:16" x14ac:dyDescent="0.25">
      <c r="C39" t="s">
        <v>25</v>
      </c>
      <c r="E39" s="11">
        <f>E38^2</f>
        <v>0.11284017416619947</v>
      </c>
      <c r="I39">
        <v>10</v>
      </c>
      <c r="J39" s="10">
        <f>E42</f>
        <v>0.16205685425834071</v>
      </c>
      <c r="K39" s="14"/>
      <c r="L39">
        <v>10</v>
      </c>
      <c r="M39" s="11">
        <f>E97</f>
        <v>0.36770270975757458</v>
      </c>
      <c r="N39" s="14"/>
      <c r="O39">
        <v>10</v>
      </c>
      <c r="P39" s="11">
        <f>D97</f>
        <v>-4.3589001240893183E-2</v>
      </c>
    </row>
    <row r="41" spans="1:16" x14ac:dyDescent="0.25">
      <c r="C41" t="s">
        <v>43</v>
      </c>
      <c r="E41" s="10">
        <f>E37-((1.96)*(E38))</f>
        <v>-1.1547374547768585</v>
      </c>
    </row>
    <row r="42" spans="1:16" x14ac:dyDescent="0.25">
      <c r="C42" t="s">
        <v>44</v>
      </c>
      <c r="E42" s="10">
        <f>E37+((1.96*E38))</f>
        <v>0.16205685425834071</v>
      </c>
    </row>
    <row r="43" spans="1:16" x14ac:dyDescent="0.25">
      <c r="A43" t="s">
        <v>45</v>
      </c>
    </row>
    <row r="44" spans="1:16" x14ac:dyDescent="0.25">
      <c r="A44" s="14" t="s">
        <v>3</v>
      </c>
      <c r="B44" s="14" t="s">
        <v>80</v>
      </c>
      <c r="C44" s="14">
        <v>5.3645544615178249</v>
      </c>
      <c r="D44" s="14">
        <v>5.3269438826450264</v>
      </c>
      <c r="E44" s="14">
        <v>7.5301897192234764</v>
      </c>
      <c r="F44" s="14" t="s">
        <v>144</v>
      </c>
      <c r="G44" s="14"/>
    </row>
    <row r="45" spans="1:16" x14ac:dyDescent="0.25">
      <c r="A45" s="14" t="s">
        <v>3</v>
      </c>
      <c r="B45" s="57" t="s">
        <v>81</v>
      </c>
      <c r="C45" s="57">
        <v>7.2229789086827063</v>
      </c>
      <c r="D45" s="57">
        <v>7.1759008420245616</v>
      </c>
      <c r="E45" s="57">
        <v>7.600886023332543</v>
      </c>
      <c r="F45" s="14" t="s">
        <v>147</v>
      </c>
      <c r="G45" s="14"/>
      <c r="M45" s="10" t="s">
        <v>37</v>
      </c>
      <c r="N45" t="s">
        <v>38</v>
      </c>
    </row>
    <row r="46" spans="1:16" x14ac:dyDescent="0.25">
      <c r="A46" s="14" t="s">
        <v>6</v>
      </c>
      <c r="B46" s="14" t="s">
        <v>94</v>
      </c>
      <c r="C46" s="14">
        <v>9.1411898739307542</v>
      </c>
      <c r="D46" s="14">
        <v>9.0775675245890675</v>
      </c>
      <c r="E46" s="14">
        <v>7.943033496805481</v>
      </c>
      <c r="F46" s="57" t="s">
        <v>147</v>
      </c>
      <c r="G46" s="57"/>
      <c r="K46" t="s">
        <v>39</v>
      </c>
      <c r="L46" s="11">
        <v>-0.4963403002592589</v>
      </c>
      <c r="M46" s="11">
        <v>-0.70198615575849277</v>
      </c>
      <c r="N46" s="11">
        <v>-0.29069444476002504</v>
      </c>
    </row>
    <row r="47" spans="1:16" x14ac:dyDescent="0.25">
      <c r="A47" s="12" t="s">
        <v>26</v>
      </c>
      <c r="K47" t="s">
        <v>40</v>
      </c>
      <c r="L47" s="11">
        <v>-1.1547374547768585</v>
      </c>
      <c r="M47" s="11">
        <v>-1.3603833102760925</v>
      </c>
      <c r="N47" s="11">
        <v>-0.94909159927762465</v>
      </c>
    </row>
    <row r="48" spans="1:16" x14ac:dyDescent="0.25">
      <c r="K48" t="s">
        <v>41</v>
      </c>
      <c r="L48" s="10">
        <v>0.16205685425834071</v>
      </c>
      <c r="M48" s="11">
        <v>-4.3589001240893183E-2</v>
      </c>
      <c r="N48" s="11">
        <v>0.36770270975757458</v>
      </c>
    </row>
    <row r="50" spans="1:8" x14ac:dyDescent="0.25">
      <c r="A50" t="s">
        <v>46</v>
      </c>
    </row>
    <row r="51" spans="1:8" x14ac:dyDescent="0.25">
      <c r="A51" t="s">
        <v>47</v>
      </c>
    </row>
    <row r="53" spans="1:8" ht="15.75" thickBot="1" x14ac:dyDescent="0.3">
      <c r="A53" t="s">
        <v>48</v>
      </c>
      <c r="D53" t="s">
        <v>49</v>
      </c>
      <c r="E53">
        <v>0.05</v>
      </c>
    </row>
    <row r="54" spans="1:8" ht="15.75" thickTop="1" x14ac:dyDescent="0.25">
      <c r="A54" s="13" t="s">
        <v>50</v>
      </c>
      <c r="B54" s="13" t="s">
        <v>51</v>
      </c>
      <c r="C54" s="13" t="s">
        <v>52</v>
      </c>
      <c r="D54" s="13" t="s">
        <v>53</v>
      </c>
      <c r="E54" s="13" t="s">
        <v>54</v>
      </c>
      <c r="F54" s="13" t="s">
        <v>8</v>
      </c>
      <c r="G54" s="13" t="s">
        <v>55</v>
      </c>
      <c r="H54" s="13" t="s">
        <v>56</v>
      </c>
    </row>
    <row r="55" spans="1:8" x14ac:dyDescent="0.25">
      <c r="A55">
        <f>COUNT(E2:E34)</f>
        <v>33</v>
      </c>
      <c r="B55" s="11">
        <f>AVERAGE(E2:E34)</f>
        <v>-0.4963403002592589</v>
      </c>
      <c r="C55">
        <f>_xlfn.STDEV.S(E2:E34)</f>
        <v>0.33591691557020387</v>
      </c>
      <c r="D55">
        <f>C55/SQRT(A55)</f>
        <v>5.8475629258329144E-2</v>
      </c>
      <c r="E55">
        <f>(B55-E57)/D55</f>
        <v>-8.4879856198992716</v>
      </c>
      <c r="F55">
        <f>A55-1</f>
        <v>32</v>
      </c>
      <c r="G55">
        <f>ABS(B55-E57)/C55</f>
        <v>1.477568640497736</v>
      </c>
      <c r="H55">
        <f>SQRT(E55^2/(E55^2+F55))</f>
        <v>0.83213185906585141</v>
      </c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ht="15.75" thickBot="1" x14ac:dyDescent="0.3">
      <c r="A57" t="s">
        <v>57</v>
      </c>
      <c r="D57" t="s">
        <v>58</v>
      </c>
      <c r="E57">
        <v>0</v>
      </c>
    </row>
    <row r="58" spans="1:8" ht="15.75" thickTop="1" x14ac:dyDescent="0.25">
      <c r="A58" s="13" t="s">
        <v>59</v>
      </c>
      <c r="B58" s="13" t="s">
        <v>60</v>
      </c>
      <c r="C58" s="13" t="s">
        <v>14</v>
      </c>
      <c r="D58" s="13" t="s">
        <v>17</v>
      </c>
      <c r="E58" s="13" t="s">
        <v>18</v>
      </c>
      <c r="F58" s="13" t="s">
        <v>61</v>
      </c>
    </row>
    <row r="59" spans="1:8" x14ac:dyDescent="0.25">
      <c r="A59" t="s">
        <v>62</v>
      </c>
      <c r="B59">
        <f>_xlfn.T.DIST.RT(ABS(E55),F55)</f>
        <v>5.3215853326500308E-10</v>
      </c>
      <c r="C59">
        <f>_xlfn.T.INV.2T(E53*2,F55)</f>
        <v>1.6938887483837093</v>
      </c>
      <c r="F59" s="5" t="str">
        <f>IF(B59&lt;E53,"yes","no")</f>
        <v>yes</v>
      </c>
    </row>
    <row r="60" spans="1:8" x14ac:dyDescent="0.25">
      <c r="A60" t="s">
        <v>63</v>
      </c>
      <c r="B60">
        <f>_xlfn.T.DIST.2T(ABS(E55),F55)</f>
        <v>1.0643170665300062E-9</v>
      </c>
      <c r="C60">
        <f>_xlfn.T.INV.2T(E53,F55)</f>
        <v>2.0369333434601011</v>
      </c>
      <c r="D60">
        <f>B55-C60*D55</f>
        <v>-0.6154512592753606</v>
      </c>
      <c r="E60">
        <f>B55+C60*D55</f>
        <v>-0.37722934124315721</v>
      </c>
      <c r="F60" s="5" t="str">
        <f>IF(B60&lt;E53,"yes","no")</f>
        <v>yes</v>
      </c>
    </row>
    <row r="61" spans="1:8" x14ac:dyDescent="0.25">
      <c r="A61" s="7"/>
      <c r="B61" s="7"/>
      <c r="C61" s="7"/>
      <c r="D61" s="7"/>
      <c r="E61" s="7"/>
      <c r="F61" s="7"/>
    </row>
    <row r="79" spans="2:2" x14ac:dyDescent="0.25">
      <c r="B79" t="s">
        <v>64</v>
      </c>
    </row>
    <row r="81" spans="1:5" x14ac:dyDescent="0.25">
      <c r="B81" t="s">
        <v>27</v>
      </c>
      <c r="C81">
        <f>C60</f>
        <v>2.0369333434601011</v>
      </c>
    </row>
    <row r="82" spans="1:5" x14ac:dyDescent="0.25">
      <c r="B82" t="s">
        <v>28</v>
      </c>
      <c r="C82">
        <f>1/33</f>
        <v>3.0303030303030304E-2</v>
      </c>
    </row>
    <row r="83" spans="1:5" x14ac:dyDescent="0.25">
      <c r="B83" t="s">
        <v>29</v>
      </c>
      <c r="C83">
        <f>2*(33-1)</f>
        <v>64</v>
      </c>
    </row>
    <row r="84" spans="1:5" x14ac:dyDescent="0.25">
      <c r="B84" t="s">
        <v>30</v>
      </c>
      <c r="C84">
        <f>1.96^2</f>
        <v>3.8415999999999997</v>
      </c>
    </row>
    <row r="85" spans="1:5" x14ac:dyDescent="0.25">
      <c r="B85" t="s">
        <v>31</v>
      </c>
      <c r="C85" s="11">
        <f>_xlfn.VAR.S(E2:E34)</f>
        <v>0.11284017416619946</v>
      </c>
    </row>
    <row r="86" spans="1:5" x14ac:dyDescent="0.25">
      <c r="B86" t="s">
        <v>32</v>
      </c>
      <c r="C86">
        <f>(C84)/C83</f>
        <v>6.0024999999999995E-2</v>
      </c>
    </row>
    <row r="87" spans="1:5" x14ac:dyDescent="0.25">
      <c r="B87" t="s">
        <v>33</v>
      </c>
      <c r="C87">
        <f>C82+C86</f>
        <v>9.0328030303030299E-2</v>
      </c>
    </row>
    <row r="88" spans="1:5" x14ac:dyDescent="0.25">
      <c r="B88" t="s">
        <v>34</v>
      </c>
      <c r="C88">
        <f>C87*C85</f>
        <v>1.0192630671483681E-2</v>
      </c>
    </row>
    <row r="89" spans="1:5" x14ac:dyDescent="0.25">
      <c r="B89" t="s">
        <v>35</v>
      </c>
      <c r="C89">
        <f>SQRT(C88)</f>
        <v>0.10095855917892094</v>
      </c>
    </row>
    <row r="90" spans="1:5" x14ac:dyDescent="0.25">
      <c r="B90" t="s">
        <v>36</v>
      </c>
      <c r="C90">
        <f>C81*C89</f>
        <v>0.20564585549923389</v>
      </c>
    </row>
    <row r="94" spans="1:5" x14ac:dyDescent="0.25">
      <c r="D94" s="10" t="s">
        <v>37</v>
      </c>
      <c r="E94" t="s">
        <v>38</v>
      </c>
    </row>
    <row r="95" spans="1:5" x14ac:dyDescent="0.25">
      <c r="B95" t="s">
        <v>39</v>
      </c>
      <c r="C95" s="11">
        <f>E37</f>
        <v>-0.4963403002592589</v>
      </c>
      <c r="D95" s="11">
        <f>C95-C90</f>
        <v>-0.70198615575849277</v>
      </c>
      <c r="E95" s="11">
        <f>C95+C90</f>
        <v>-0.29069444476002504</v>
      </c>
    </row>
    <row r="96" spans="1:5" x14ac:dyDescent="0.25">
      <c r="A96">
        <v>-1.215420198733556</v>
      </c>
      <c r="B96" t="s">
        <v>40</v>
      </c>
      <c r="C96" s="11">
        <f>E41</f>
        <v>-1.1547374547768585</v>
      </c>
      <c r="D96" s="11">
        <f>C96-C90</f>
        <v>-1.3603833102760925</v>
      </c>
      <c r="E96" s="11">
        <f>C96+C90</f>
        <v>-0.94909159927762465</v>
      </c>
    </row>
    <row r="97" spans="1:5" x14ac:dyDescent="0.25">
      <c r="A97" s="10">
        <v>0.27167581778959587</v>
      </c>
      <c r="B97" t="s">
        <v>41</v>
      </c>
      <c r="C97" s="10">
        <f>E42</f>
        <v>0.16205685425834071</v>
      </c>
      <c r="D97" s="11">
        <f>C97-C90</f>
        <v>-4.3589001240893183E-2</v>
      </c>
      <c r="E97" s="11">
        <f>C97+C90</f>
        <v>0.36770270975757458</v>
      </c>
    </row>
    <row r="102" spans="1:5" x14ac:dyDescent="0.25">
      <c r="C102" t="s">
        <v>100</v>
      </c>
    </row>
    <row r="123" spans="12:12" x14ac:dyDescent="0.25">
      <c r="L123" t="s">
        <v>101</v>
      </c>
    </row>
  </sheetData>
  <mergeCells count="1">
    <mergeCell ref="L23:P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19C-2982-4109-BD9E-81906091B806}">
  <dimension ref="A1:J93"/>
  <sheetViews>
    <sheetView workbookViewId="0">
      <selection activeCell="L21" sqref="L21"/>
    </sheetView>
  </sheetViews>
  <sheetFormatPr defaultRowHeight="15" x14ac:dyDescent="0.25"/>
  <cols>
    <col min="9" max="9" width="11" bestFit="1" customWidth="1"/>
    <col min="12" max="12" width="12" bestFit="1" customWidth="1"/>
  </cols>
  <sheetData>
    <row r="1" spans="1:9" x14ac:dyDescent="0.25">
      <c r="A1" s="14" t="s">
        <v>0</v>
      </c>
      <c r="B1" s="14" t="s">
        <v>143</v>
      </c>
      <c r="C1" s="14" t="s">
        <v>142</v>
      </c>
    </row>
    <row r="2" spans="1:9" x14ac:dyDescent="0.25">
      <c r="A2" s="14" t="s">
        <v>3</v>
      </c>
      <c r="B2" s="14">
        <v>7.8010060921492332</v>
      </c>
      <c r="C2" s="14">
        <v>8.1886280846892312</v>
      </c>
    </row>
    <row r="3" spans="1:9" x14ac:dyDescent="0.25">
      <c r="A3" s="14" t="s">
        <v>3</v>
      </c>
      <c r="B3" s="14">
        <v>8.3420769004355328</v>
      </c>
      <c r="C3" s="14">
        <v>8.8073631419576675</v>
      </c>
      <c r="H3" t="s">
        <v>177</v>
      </c>
    </row>
    <row r="4" spans="1:9" x14ac:dyDescent="0.25">
      <c r="A4" s="14" t="s">
        <v>3</v>
      </c>
      <c r="B4" s="14">
        <v>7.8036145379865518</v>
      </c>
      <c r="C4" s="14">
        <v>8.1886280846892312</v>
      </c>
    </row>
    <row r="5" spans="1:9" x14ac:dyDescent="0.25">
      <c r="A5" s="14" t="s">
        <v>3</v>
      </c>
      <c r="B5" s="14">
        <v>7.7822420381159683</v>
      </c>
      <c r="C5" s="14">
        <v>7.7347758523589683</v>
      </c>
    </row>
    <row r="6" spans="1:9" x14ac:dyDescent="0.25">
      <c r="A6" s="14" t="s">
        <v>4</v>
      </c>
      <c r="B6" s="14">
        <v>7.8218768070207103</v>
      </c>
      <c r="C6" s="14">
        <v>8.3194936964926871</v>
      </c>
    </row>
    <row r="7" spans="1:9" x14ac:dyDescent="0.25">
      <c r="A7" s="14" t="s">
        <v>4</v>
      </c>
      <c r="B7" s="14">
        <v>8.0190586454557842</v>
      </c>
      <c r="C7" s="14">
        <v>8.6964437922704736</v>
      </c>
    </row>
    <row r="8" spans="1:9" x14ac:dyDescent="0.25">
      <c r="A8" s="14" t="s">
        <v>4</v>
      </c>
      <c r="B8" s="14">
        <v>7.484465321548373</v>
      </c>
      <c r="C8" s="14">
        <v>7.8563273221240033</v>
      </c>
    </row>
    <row r="9" spans="1:9" x14ac:dyDescent="0.25">
      <c r="A9" s="14" t="s">
        <v>4</v>
      </c>
      <c r="B9" s="14">
        <v>7.5762906186122363</v>
      </c>
      <c r="C9" s="14">
        <v>8.3941183312560934</v>
      </c>
    </row>
    <row r="10" spans="1:9" x14ac:dyDescent="0.25">
      <c r="A10" s="14" t="s">
        <v>4</v>
      </c>
      <c r="B10" s="14">
        <v>7.959097229431511</v>
      </c>
      <c r="C10" s="14">
        <v>7.9305691490684538</v>
      </c>
    </row>
    <row r="11" spans="1:9" x14ac:dyDescent="0.25">
      <c r="A11" s="14" t="s">
        <v>4</v>
      </c>
      <c r="B11" s="14">
        <v>7.8535353114309956</v>
      </c>
      <c r="C11" s="14">
        <v>8.4405588330644097</v>
      </c>
    </row>
    <row r="12" spans="1:9" x14ac:dyDescent="0.25">
      <c r="A12" s="14" t="s">
        <v>5</v>
      </c>
      <c r="B12" s="14">
        <v>9.0296265704866769</v>
      </c>
      <c r="C12" s="14">
        <v>8.9932665341224087</v>
      </c>
    </row>
    <row r="13" spans="1:9" x14ac:dyDescent="0.25">
      <c r="A13" s="14" t="s">
        <v>5</v>
      </c>
      <c r="B13" s="14">
        <v>8.5882150418302601</v>
      </c>
      <c r="C13" s="14">
        <v>9.3698027627560005</v>
      </c>
    </row>
    <row r="14" spans="1:9" x14ac:dyDescent="0.25">
      <c r="A14" s="14" t="s">
        <v>5</v>
      </c>
      <c r="B14" s="14">
        <v>9.0099672838335625</v>
      </c>
      <c r="C14" s="14">
        <v>9.73477585235897</v>
      </c>
    </row>
    <row r="15" spans="1:9" x14ac:dyDescent="0.25">
      <c r="A15" s="14" t="s">
        <v>5</v>
      </c>
      <c r="B15" s="14">
        <v>8.7802901232329518</v>
      </c>
      <c r="C15" s="14">
        <v>9.4405588330644132</v>
      </c>
      <c r="I15">
        <f>1/0.98185</f>
        <v>1.0184855120435912</v>
      </c>
    </row>
    <row r="16" spans="1:9" x14ac:dyDescent="0.25">
      <c r="A16" s="14" t="s">
        <v>5</v>
      </c>
      <c r="B16" s="14">
        <v>9.0422706215029169</v>
      </c>
      <c r="C16" s="14">
        <v>9.3900313382247553</v>
      </c>
    </row>
    <row r="17" spans="1:10" x14ac:dyDescent="0.25">
      <c r="A17" s="14" t="s">
        <v>5</v>
      </c>
      <c r="B17" s="14">
        <v>9.097594738939863</v>
      </c>
      <c r="C17" s="14">
        <v>9.3194936964926764</v>
      </c>
    </row>
    <row r="18" spans="1:10" x14ac:dyDescent="0.25">
      <c r="A18" s="14" t="s">
        <v>6</v>
      </c>
      <c r="B18" s="14">
        <v>8.3688831300769664</v>
      </c>
      <c r="C18" s="14">
        <v>8.9049021797530337</v>
      </c>
    </row>
    <row r="19" spans="1:10" x14ac:dyDescent="0.25">
      <c r="A19" s="14" t="s">
        <v>6</v>
      </c>
      <c r="B19" s="14">
        <v>8.6479740309110671</v>
      </c>
      <c r="C19" s="14">
        <v>8.9049021797530337</v>
      </c>
      <c r="E19" t="s">
        <v>102</v>
      </c>
      <c r="H19" s="1"/>
      <c r="I19" s="1"/>
      <c r="J19" s="1"/>
    </row>
    <row r="20" spans="1:10" ht="15.75" thickBot="1" x14ac:dyDescent="0.3">
      <c r="A20" s="14" t="s">
        <v>6</v>
      </c>
      <c r="B20" s="14">
        <v>8.7286939638031917</v>
      </c>
      <c r="C20" s="14">
        <v>8.6875136349547581</v>
      </c>
    </row>
    <row r="21" spans="1:10" x14ac:dyDescent="0.25">
      <c r="A21" s="14" t="s">
        <v>6</v>
      </c>
      <c r="B21" s="14">
        <v>8.7160140251297094</v>
      </c>
      <c r="C21" s="14">
        <v>9.1495116736567876</v>
      </c>
      <c r="E21" s="70"/>
      <c r="F21" s="70" t="s">
        <v>142</v>
      </c>
      <c r="G21" s="70" t="s">
        <v>143</v>
      </c>
    </row>
    <row r="22" spans="1:10" x14ac:dyDescent="0.25">
      <c r="A22" s="14" t="s">
        <v>6</v>
      </c>
      <c r="B22" s="14">
        <v>8.7664365835732578</v>
      </c>
      <c r="C22" s="14">
        <v>9.2323033137223529</v>
      </c>
      <c r="E22" t="s">
        <v>51</v>
      </c>
      <c r="F22">
        <v>8.8112077493644136</v>
      </c>
      <c r="G22">
        <v>8.3148674491051526</v>
      </c>
    </row>
    <row r="23" spans="1:10" x14ac:dyDescent="0.25">
      <c r="A23" s="14" t="s">
        <v>7</v>
      </c>
      <c r="B23" s="14">
        <v>8.0678531344129869</v>
      </c>
      <c r="C23" s="14">
        <v>8.8036130171770157</v>
      </c>
      <c r="E23" t="s">
        <v>98</v>
      </c>
      <c r="F23">
        <v>0.29967591493176493</v>
      </c>
      <c r="G23">
        <v>0.29423728417737793</v>
      </c>
    </row>
    <row r="24" spans="1:10" x14ac:dyDescent="0.25">
      <c r="A24" s="14" t="s">
        <v>7</v>
      </c>
      <c r="B24" s="14">
        <v>7.7497722979332098</v>
      </c>
      <c r="C24" s="14">
        <v>8.1866849294032296</v>
      </c>
      <c r="E24" t="s">
        <v>103</v>
      </c>
      <c r="F24">
        <v>33</v>
      </c>
      <c r="G24">
        <v>33</v>
      </c>
    </row>
    <row r="25" spans="1:10" x14ac:dyDescent="0.25">
      <c r="A25" s="14" t="s">
        <v>7</v>
      </c>
      <c r="B25" s="14">
        <v>7.547630699023073</v>
      </c>
      <c r="C25" s="14">
        <v>8.36785960747007</v>
      </c>
      <c r="E25" t="s">
        <v>8</v>
      </c>
      <c r="F25">
        <v>32</v>
      </c>
      <c r="G25">
        <v>32</v>
      </c>
    </row>
    <row r="26" spans="1:10" x14ac:dyDescent="0.25">
      <c r="A26" s="14" t="s">
        <v>7</v>
      </c>
      <c r="B26" s="14">
        <v>7.4915420585084975</v>
      </c>
      <c r="C26" s="14">
        <v>8.5058256606117801</v>
      </c>
      <c r="E26" t="s">
        <v>104</v>
      </c>
      <c r="F26">
        <v>1.0184838259692077</v>
      </c>
    </row>
    <row r="27" spans="1:10" x14ac:dyDescent="0.25">
      <c r="A27" s="14" t="s">
        <v>7</v>
      </c>
      <c r="B27" s="14">
        <v>7.9397390854947822</v>
      </c>
      <c r="C27" s="14">
        <v>8.694500636984472</v>
      </c>
      <c r="E27" t="s">
        <v>105</v>
      </c>
      <c r="F27">
        <v>0.47950361768098199</v>
      </c>
    </row>
    <row r="28" spans="1:10" ht="15.75" thickBot="1" x14ac:dyDescent="0.3">
      <c r="A28" s="14" t="s">
        <v>7</v>
      </c>
      <c r="B28" s="14">
        <v>7.8248753918418315</v>
      </c>
      <c r="C28" s="14">
        <v>8.5058256606117801</v>
      </c>
      <c r="E28" s="19" t="s">
        <v>106</v>
      </c>
      <c r="F28" s="19">
        <v>1.8044816079040129</v>
      </c>
      <c r="G28" s="19"/>
    </row>
    <row r="29" spans="1:10" x14ac:dyDescent="0.25">
      <c r="A29" s="14" t="s">
        <v>5</v>
      </c>
      <c r="B29" s="14">
        <v>9.0218969275173304</v>
      </c>
      <c r="C29" s="14">
        <v>9.5667577474522449</v>
      </c>
    </row>
    <row r="30" spans="1:10" x14ac:dyDescent="0.25">
      <c r="A30" s="14" t="s">
        <v>5</v>
      </c>
      <c r="B30" s="14">
        <v>8.2214300805901512</v>
      </c>
      <c r="C30" s="14">
        <v>9.7328326970729684</v>
      </c>
    </row>
    <row r="31" spans="1:10" x14ac:dyDescent="0.25">
      <c r="A31" s="14" t="s">
        <v>5</v>
      </c>
      <c r="B31" s="14">
        <v>8.7066711172629585</v>
      </c>
      <c r="C31" s="14">
        <v>9.3481637834513869</v>
      </c>
    </row>
    <row r="32" spans="1:10" x14ac:dyDescent="0.25">
      <c r="A32" s="14" t="s">
        <v>5</v>
      </c>
      <c r="B32" s="14">
        <v>8.9129511744272421</v>
      </c>
      <c r="C32" s="14">
        <v>8.9286259937824575</v>
      </c>
    </row>
    <row r="33" spans="1:6" x14ac:dyDescent="0.25">
      <c r="A33" s="14" t="s">
        <v>5</v>
      </c>
      <c r="B33" s="14">
        <v>8.936108429314281</v>
      </c>
      <c r="C33" s="14">
        <v>9.0773381007077738</v>
      </c>
    </row>
    <row r="34" spans="1:6" x14ac:dyDescent="0.25">
      <c r="A34" s="14" t="s">
        <v>5</v>
      </c>
      <c r="B34" s="14">
        <v>8.7509258086363797</v>
      </c>
      <c r="C34" s="14">
        <v>9.3678596074699989</v>
      </c>
    </row>
    <row r="38" spans="1:6" x14ac:dyDescent="0.25">
      <c r="A38" t="s">
        <v>45</v>
      </c>
    </row>
    <row r="39" spans="1:6" x14ac:dyDescent="0.25">
      <c r="A39" s="15" t="s">
        <v>3</v>
      </c>
      <c r="B39" s="15" t="s">
        <v>80</v>
      </c>
      <c r="C39" s="15">
        <v>5.3645544615178249</v>
      </c>
      <c r="D39" s="15">
        <v>5.3269438826450264</v>
      </c>
      <c r="E39">
        <v>7.5301897192234764</v>
      </c>
      <c r="F39" t="s">
        <v>144</v>
      </c>
    </row>
    <row r="40" spans="1:6" x14ac:dyDescent="0.25">
      <c r="A40" t="s">
        <v>3</v>
      </c>
      <c r="B40" t="s">
        <v>81</v>
      </c>
      <c r="C40">
        <v>7.2229789086827063</v>
      </c>
      <c r="D40">
        <v>7.1759008420245616</v>
      </c>
      <c r="E40">
        <v>7.600886023332543</v>
      </c>
      <c r="F40" t="s">
        <v>147</v>
      </c>
    </row>
    <row r="41" spans="1:6" x14ac:dyDescent="0.25">
      <c r="A41" t="s">
        <v>6</v>
      </c>
      <c r="B41" t="s">
        <v>94</v>
      </c>
      <c r="C41">
        <v>9.1411898739307542</v>
      </c>
      <c r="D41">
        <v>9.0775675245890675</v>
      </c>
      <c r="E41">
        <v>7.943033496805481</v>
      </c>
      <c r="F41" t="s">
        <v>147</v>
      </c>
    </row>
    <row r="86" spans="8:10" x14ac:dyDescent="0.25">
      <c r="H86" s="1"/>
      <c r="I86" s="1"/>
      <c r="J86" s="1"/>
    </row>
    <row r="93" spans="8:10" ht="15.75" thickBot="1" x14ac:dyDescent="0.3">
      <c r="H93" s="19"/>
      <c r="I93" s="19"/>
      <c r="J93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OUTPUT_micrompn_c1c2c3 </vt:lpstr>
      <vt:lpstr>OUTPUT_micrompn_c4c5c5 </vt:lpstr>
      <vt:lpstr>data_trim_all_R</vt:lpstr>
      <vt:lpstr>data_norarity_R_ORDERED</vt:lpstr>
      <vt:lpstr>data_norarity_R</vt:lpstr>
      <vt:lpstr>data_trim_MPN_regression</vt:lpstr>
      <vt:lpstr>Fisherstest_MPN_trim</vt:lpstr>
      <vt:lpstr>BlandAlt_MPN_trim</vt:lpstr>
      <vt:lpstr>data_trim_MPNadj_regresion</vt:lpstr>
      <vt:lpstr>BlandAlt_MPNadj_trim_norarity </vt:lpstr>
      <vt:lpstr>Fisherstest_MPNadj_trim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Karla Franco</cp:lastModifiedBy>
  <dcterms:created xsi:type="dcterms:W3CDTF">2023-04-28T04:06:23Z</dcterms:created>
  <dcterms:modified xsi:type="dcterms:W3CDTF">2023-06-07T21:43:37Z</dcterms:modified>
</cp:coreProperties>
</file>