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updateLinks="never" codeName="ThisWorkbook" defaultThemeVersion="166925"/>
  <xr:revisionPtr revIDLastSave="0" documentId="13_ncr:1_{387B37E8-0899-49CB-B478-276EF6C4987E}" xr6:coauthVersionLast="47" xr6:coauthVersionMax="47" xr10:uidLastSave="{00000000-0000-0000-0000-000000000000}"/>
  <bookViews>
    <workbookView xWindow="28680" yWindow="-120" windowWidth="29040" windowHeight="15720" tabRatio="764"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scalarData!$E$1:$G$1280</definedName>
    <definedName name="k_coBillions">controlTables!$D$216</definedName>
    <definedName name="k_coMillions">controlTables!$D$217</definedName>
    <definedName name="k_coThousands">controlTables!$D$218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controlTables!$D$19:$D$35</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044" i="25" l="1"/>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A1099" i="44"/>
  <c r="A1100" i="44"/>
  <c r="A1101" i="44"/>
  <c r="A1102" i="44"/>
  <c r="A1103" i="44"/>
  <c r="A1104"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A1131" i="44"/>
  <c r="A1132"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8" i="44"/>
  <c r="A1159" i="44"/>
  <c r="A1160"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5" i="44"/>
  <c r="A1186" i="44"/>
  <c r="A1187" i="44"/>
  <c r="A1188"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2" i="44"/>
  <c r="A1213" i="44"/>
  <c r="A1214" i="44"/>
  <c r="A1215" i="44"/>
  <c r="A1216"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39" i="44"/>
  <c r="A1240" i="44"/>
  <c r="A1241" i="44"/>
  <c r="A1242" i="44"/>
  <c r="A1243" i="44"/>
  <c r="A1244"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6" i="44"/>
  <c r="A1267" i="44"/>
  <c r="A1268" i="44"/>
  <c r="A1269" i="44"/>
  <c r="A1270" i="44"/>
  <c r="A1271" i="44"/>
  <c r="A1272" i="44"/>
  <c r="A1273" i="44"/>
  <c r="A1274" i="44"/>
  <c r="A1275" i="44"/>
  <c r="A1276" i="44"/>
  <c r="A1277" i="44"/>
  <c r="A1278" i="44"/>
  <c r="A1279" i="44"/>
  <c r="A1280" i="44"/>
  <c r="B1099" i="44"/>
  <c r="B1100" i="44"/>
  <c r="B1101" i="44"/>
  <c r="B1102" i="44"/>
  <c r="B1103" i="44"/>
  <c r="B1104"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B1131" i="44"/>
  <c r="B1132" i="44"/>
  <c r="B1133"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8" i="44"/>
  <c r="B1159" i="44"/>
  <c r="B1160"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5" i="44"/>
  <c r="B1186" i="44"/>
  <c r="B1187" i="44"/>
  <c r="B1188"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2" i="44"/>
  <c r="B1213" i="44"/>
  <c r="B1214" i="44"/>
  <c r="B1215" i="44"/>
  <c r="B1216"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39" i="44"/>
  <c r="B1240" i="44"/>
  <c r="B1241" i="44"/>
  <c r="B1242" i="44"/>
  <c r="B1243" i="44"/>
  <c r="B1244"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6" i="44"/>
  <c r="B1267" i="44"/>
  <c r="B1268" i="44"/>
  <c r="B1269" i="44"/>
  <c r="B1270" i="44"/>
  <c r="B1271" i="44"/>
  <c r="B1272" i="44"/>
  <c r="B1273" i="44"/>
  <c r="B1274" i="44"/>
  <c r="B1275" i="44"/>
  <c r="B1276" i="44"/>
  <c r="B1277" i="44"/>
  <c r="B1278" i="44"/>
  <c r="B1279" i="44"/>
  <c r="B1280" i="44"/>
  <c r="C1099" i="44"/>
  <c r="C1100" i="44"/>
  <c r="C1101" i="44"/>
  <c r="C1102" i="44"/>
  <c r="C1103" i="44"/>
  <c r="C1104"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C1131" i="44"/>
  <c r="C1132"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8" i="44"/>
  <c r="C1159" i="44"/>
  <c r="C1160"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5" i="44"/>
  <c r="C1186" i="44"/>
  <c r="C1187" i="44"/>
  <c r="C1188"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2" i="44"/>
  <c r="C1213" i="44"/>
  <c r="C1214" i="44"/>
  <c r="C1215" i="44"/>
  <c r="C1216"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39" i="44"/>
  <c r="C1240" i="44"/>
  <c r="C1241" i="44"/>
  <c r="C1242" i="44"/>
  <c r="C1243" i="44"/>
  <c r="C1244"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6" i="44"/>
  <c r="C1267" i="44"/>
  <c r="C1268" i="44"/>
  <c r="C1269" i="44"/>
  <c r="C1270" i="44"/>
  <c r="C1271" i="44"/>
  <c r="C1272" i="44"/>
  <c r="C1273" i="44"/>
  <c r="C1274" i="44"/>
  <c r="C1275" i="44"/>
  <c r="C1276" i="44"/>
  <c r="C1277" i="44"/>
  <c r="C1278" i="44"/>
  <c r="C1279" i="44"/>
  <c r="C1280" i="44"/>
  <c r="B202" i="24"/>
  <c r="K202" i="24" a="1"/>
  <c r="K202" i="24" s="1"/>
  <c r="B145" i="24"/>
  <c r="Q145" i="24"/>
  <c r="R145" i="24" a="1"/>
  <c r="R145" i="24" s="1"/>
  <c r="U145" i="24" a="1"/>
  <c r="U145" i="24" s="1"/>
  <c r="B62" i="24"/>
  <c r="D62" i="24" a="1"/>
  <c r="D62" i="24" s="1"/>
  <c r="M33" i="24" s="1" a="1"/>
  <c r="M33" i="24" s="1"/>
  <c r="E62" i="24" a="1"/>
  <c r="E62" i="24" s="1"/>
  <c r="F62" i="24" a="1"/>
  <c r="F62" i="24" s="1"/>
  <c r="B33" i="24"/>
  <c r="K33" i="24" a="1"/>
  <c r="K33" i="24" s="1"/>
  <c r="L33" i="24" a="1"/>
  <c r="L33" i="24" s="1"/>
  <c r="O33" i="24" a="1"/>
  <c r="O33" i="24" s="1"/>
  <c r="B106" i="24"/>
  <c r="I106" i="24"/>
  <c r="J106" i="24" a="1"/>
  <c r="J106" i="24" s="1"/>
  <c r="K106" i="24" a="1"/>
  <c r="K106" i="24" s="1"/>
  <c r="I33" i="24"/>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7" i="24" l="1"/>
  <c r="Q157" i="24"/>
  <c r="R157" i="24" a="1"/>
  <c r="R157" i="24" s="1"/>
  <c r="U157" i="24" a="1"/>
  <c r="U157" i="24" s="1"/>
  <c r="B158" i="24"/>
  <c r="Q158" i="24"/>
  <c r="R158" i="24" a="1"/>
  <c r="R158" i="24" s="1"/>
  <c r="U158" i="24" a="1"/>
  <c r="U158" i="24" s="1"/>
  <c r="B159" i="24"/>
  <c r="Q159" i="24"/>
  <c r="R159" i="24" a="1"/>
  <c r="R159" i="24" s="1"/>
  <c r="U159" i="24" a="1"/>
  <c r="U159" i="24" s="1"/>
  <c r="B116" i="24"/>
  <c r="I116" i="24"/>
  <c r="J116" i="24" a="1"/>
  <c r="J116" i="24" s="1"/>
  <c r="K116" i="24" a="1"/>
  <c r="K116" i="24" s="1"/>
  <c r="B68" i="24"/>
  <c r="D68" i="24" a="1"/>
  <c r="D68" i="24" s="1"/>
  <c r="M39" i="24" s="1" a="1"/>
  <c r="M39" i="24" s="1"/>
  <c r="E68" i="24" a="1"/>
  <c r="E68" i="24" s="1"/>
  <c r="F68" i="24" a="1"/>
  <c r="F68" i="24" s="1"/>
  <c r="B39" i="24"/>
  <c r="K39" i="24" a="1"/>
  <c r="K39" i="24" s="1"/>
  <c r="L39" i="24" a="1"/>
  <c r="L39" i="24" s="1"/>
  <c r="O39" i="24" a="1"/>
  <c r="O39" i="24" s="1"/>
  <c r="B38" i="24"/>
  <c r="I39"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K21" i="24" a="1"/>
  <c r="K21" i="24" s="1"/>
  <c r="B89" i="24"/>
  <c r="I89" i="24"/>
  <c r="J89" i="24" a="1"/>
  <c r="J89" i="24" s="1"/>
  <c r="K89" i="24" a="1"/>
  <c r="K89" i="24" s="1"/>
  <c r="B90" i="24"/>
  <c r="I90" i="24"/>
  <c r="J90" i="24" a="1"/>
  <c r="J90" i="24" s="1"/>
  <c r="K90" i="24" a="1"/>
  <c r="K90"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5" i="24" a="1"/>
  <c r="K85" i="24" s="1"/>
  <c r="K86" i="24" a="1"/>
  <c r="K86" i="24" s="1"/>
  <c r="K79" i="24" a="1"/>
  <c r="K79" i="24" s="1"/>
  <c r="K80" i="24" a="1"/>
  <c r="K80" i="24" s="1"/>
  <c r="K81" i="24" a="1"/>
  <c r="K81" i="24" s="1"/>
  <c r="K88" i="24" a="1"/>
  <c r="K88" i="24" s="1"/>
  <c r="K91" i="24" a="1"/>
  <c r="K91" i="24" s="1"/>
  <c r="K92" i="24" a="1"/>
  <c r="K92" i="24" s="1"/>
  <c r="K93" i="24" a="1"/>
  <c r="K93" i="24" s="1"/>
  <c r="K94" i="24" a="1"/>
  <c r="K94" i="24" s="1"/>
  <c r="K95" i="24" a="1"/>
  <c r="K95" i="24" s="1"/>
  <c r="K96" i="24" a="1"/>
  <c r="K96" i="24" s="1"/>
  <c r="K97" i="24" a="1"/>
  <c r="K97" i="24" s="1"/>
  <c r="K98" i="24" a="1"/>
  <c r="K98" i="24" s="1"/>
  <c r="K99" i="24" a="1"/>
  <c r="K99" i="24" s="1"/>
  <c r="K82" i="24" a="1"/>
  <c r="K82" i="24" s="1"/>
  <c r="K83" i="24" a="1"/>
  <c r="K83" i="24" s="1"/>
  <c r="K84" i="24" a="1"/>
  <c r="K84" i="24" s="1"/>
  <c r="K100" i="24" a="1"/>
  <c r="K100" i="24" s="1"/>
  <c r="K101" i="24" a="1"/>
  <c r="K101" i="24" s="1"/>
  <c r="K102" i="24" a="1"/>
  <c r="K102" i="24" s="1"/>
  <c r="K103" i="24" a="1"/>
  <c r="K103" i="24" s="1"/>
  <c r="K104" i="24" a="1"/>
  <c r="K104" i="24" s="1"/>
  <c r="K105" i="24" a="1"/>
  <c r="K105" i="24" s="1"/>
  <c r="K107" i="24" a="1"/>
  <c r="K107" i="24" s="1"/>
  <c r="K108" i="24" a="1"/>
  <c r="K108" i="24" s="1"/>
  <c r="K109" i="24" a="1"/>
  <c r="K109" i="24" s="1"/>
  <c r="K110" i="24" a="1"/>
  <c r="K110" i="24" s="1"/>
  <c r="K111" i="24" a="1"/>
  <c r="K111" i="24" s="1"/>
  <c r="K112" i="24" a="1"/>
  <c r="K112" i="24" s="1"/>
  <c r="K113" i="24" a="1"/>
  <c r="K113" i="24" s="1"/>
  <c r="K114" i="24" a="1"/>
  <c r="K114" i="24" s="1"/>
  <c r="K115" i="24" a="1"/>
  <c r="K115" i="24" s="1"/>
  <c r="K117" i="24" a="1"/>
  <c r="K117" i="24" s="1"/>
  <c r="K118" i="24" a="1"/>
  <c r="K118" i="24" s="1"/>
  <c r="K119" i="24" a="1"/>
  <c r="K119" i="24" s="1"/>
  <c r="K120" i="24" a="1"/>
  <c r="K120" i="24" s="1"/>
  <c r="K87" i="24" a="1"/>
  <c r="K87" i="24" s="1"/>
  <c r="B22" i="24"/>
  <c r="B19" i="24"/>
  <c r="B20" i="24"/>
  <c r="B24" i="24"/>
  <c r="B25" i="24"/>
  <c r="B26" i="24"/>
  <c r="B27" i="24"/>
  <c r="B28" i="24"/>
  <c r="B21" i="24"/>
  <c r="B29" i="24"/>
  <c r="B30" i="24"/>
  <c r="B31" i="24"/>
  <c r="B32" i="24"/>
  <c r="B34" i="24"/>
  <c r="B35" i="24"/>
  <c r="B36" i="24"/>
  <c r="B37" i="24"/>
  <c r="B40" i="24"/>
  <c r="B41" i="24"/>
  <c r="B42" i="24"/>
  <c r="B43" i="24"/>
  <c r="B23" i="24"/>
  <c r="B128" i="24"/>
  <c r="Q128" i="24"/>
  <c r="R128" i="24" a="1"/>
  <c r="R128" i="24" s="1"/>
  <c r="U128" i="24" a="1"/>
  <c r="U128" i="24" s="1"/>
  <c r="I82" i="24"/>
  <c r="I83" i="24"/>
  <c r="I84" i="24"/>
  <c r="B82" i="24"/>
  <c r="J82" i="24" a="1"/>
  <c r="J82" i="24" s="1"/>
  <c r="B83" i="24"/>
  <c r="J83" i="24" a="1"/>
  <c r="J83" i="24" s="1"/>
  <c r="B84" i="24"/>
  <c r="J84" i="24" a="1"/>
  <c r="J84" i="24" s="1"/>
  <c r="B50" i="24"/>
  <c r="D50" i="24" a="1"/>
  <c r="D50" i="24" s="1"/>
  <c r="M21" i="24" s="1" a="1"/>
  <c r="M21" i="24" s="1"/>
  <c r="E50" i="24" a="1"/>
  <c r="E50" i="24" s="1"/>
  <c r="F50" i="24" a="1"/>
  <c r="F50"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J20" i="43" a="1"/>
  <c r="H20" i="43"/>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7" i="24"/>
  <c r="K187" i="24" a="1"/>
  <c r="K187" i="24" s="1"/>
  <c r="B185" i="24"/>
  <c r="K185" i="24" a="1"/>
  <c r="K185" i="24" s="1"/>
  <c r="B134" i="24"/>
  <c r="Q134" i="24"/>
  <c r="R134" i="24" a="1"/>
  <c r="R134" i="24" s="1"/>
  <c r="S134" i="24" a="1"/>
  <c r="S134" i="24" s="1"/>
  <c r="U134" i="24" a="1"/>
  <c r="U134" i="24" s="1"/>
  <c r="B133" i="24"/>
  <c r="Q133" i="24"/>
  <c r="R133" i="24" a="1"/>
  <c r="R133" i="24" s="1"/>
  <c r="U133" i="24" a="1"/>
  <c r="U133" i="24" s="1"/>
  <c r="B87" i="24"/>
  <c r="I87" i="24"/>
  <c r="J87" i="24" a="1"/>
  <c r="J87" i="24" s="1"/>
  <c r="B52" i="24"/>
  <c r="D52" i="24" a="1"/>
  <c r="D52" i="24" s="1"/>
  <c r="E52" i="24" a="1"/>
  <c r="E52" i="24" s="1"/>
  <c r="F52" i="24" a="1"/>
  <c r="F52"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5" i="24" a="1"/>
  <c r="R125" i="24" s="1"/>
  <c r="R126" i="24" a="1"/>
  <c r="R126" i="24" s="1"/>
  <c r="R127" i="24" a="1"/>
  <c r="R127" i="24" s="1"/>
  <c r="R136" i="24" a="1"/>
  <c r="R136" i="24" s="1"/>
  <c r="R137" i="24" a="1"/>
  <c r="R137" i="24" s="1"/>
  <c r="R138" i="24" a="1"/>
  <c r="R138" i="24" s="1"/>
  <c r="R139" i="24" a="1"/>
  <c r="R139" i="24" s="1"/>
  <c r="R140" i="24" a="1"/>
  <c r="R140" i="24" s="1"/>
  <c r="R141" i="24" a="1"/>
  <c r="R141" i="24" s="1"/>
  <c r="R142" i="24" a="1"/>
  <c r="R142" i="24" s="1"/>
  <c r="R143" i="24" a="1"/>
  <c r="R143" i="24" s="1"/>
  <c r="R146" i="24" a="1"/>
  <c r="R146" i="24" s="1"/>
  <c r="R147" i="24" a="1"/>
  <c r="R147" i="24" s="1"/>
  <c r="R148" i="24" a="1"/>
  <c r="R148" i="24" s="1"/>
  <c r="R149" i="24" a="1"/>
  <c r="R149" i="24" s="1"/>
  <c r="R150" i="24" a="1"/>
  <c r="R150" i="24" s="1"/>
  <c r="R151" i="24" a="1"/>
  <c r="R151" i="24" s="1"/>
  <c r="R152" i="24" a="1"/>
  <c r="R152" i="24" s="1"/>
  <c r="R153" i="24" a="1"/>
  <c r="R153" i="24" s="1"/>
  <c r="R156" i="24" a="1"/>
  <c r="R156" i="24" s="1"/>
  <c r="R155" i="24" a="1"/>
  <c r="R155" i="24" s="1"/>
  <c r="R154" i="24" a="1"/>
  <c r="R154" i="24" s="1"/>
  <c r="R160" i="24" a="1"/>
  <c r="R160" i="24" s="1"/>
  <c r="R161" i="24" a="1"/>
  <c r="R161" i="24" s="1"/>
  <c r="R162" i="24" a="1"/>
  <c r="R162" i="24" s="1"/>
  <c r="R163" i="24" a="1"/>
  <c r="R163" i="24" s="1"/>
  <c r="R164" i="24" a="1"/>
  <c r="R164" i="24" s="1"/>
  <c r="R165" i="24" a="1"/>
  <c r="R165" i="24" s="1"/>
  <c r="R166" i="24" a="1"/>
  <c r="R166" i="24" s="1"/>
  <c r="R167" i="24" a="1"/>
  <c r="R167" i="24" s="1"/>
  <c r="R135" i="24" a="1"/>
  <c r="R135" i="24" s="1"/>
  <c r="R144" i="24" a="1"/>
  <c r="R144" i="24" s="1"/>
  <c r="R129" i="24" a="1"/>
  <c r="R129" i="24" s="1"/>
  <c r="R130" i="24" a="1"/>
  <c r="R130" i="24" s="1"/>
  <c r="R131" i="24" a="1"/>
  <c r="R131" i="24" s="1"/>
  <c r="R132" i="24" a="1"/>
  <c r="R132" i="24" s="1"/>
  <c r="Q129" i="24"/>
  <c r="Q130" i="24"/>
  <c r="Q131" i="24"/>
  <c r="Q132" i="24"/>
  <c r="S129" i="24" a="1"/>
  <c r="S129" i="24" s="1"/>
  <c r="S130" i="24" a="1"/>
  <c r="S130" i="24" s="1"/>
  <c r="S131" i="24" a="1"/>
  <c r="S131" i="24" s="1"/>
  <c r="S132" i="24" a="1"/>
  <c r="S132" i="24" s="1"/>
  <c r="T129" i="24" a="1"/>
  <c r="T129" i="24" s="1"/>
  <c r="T130" i="24" a="1"/>
  <c r="T130" i="24" s="1"/>
  <c r="T131" i="24" a="1"/>
  <c r="T131" i="24" s="1"/>
  <c r="T132" i="24" a="1"/>
  <c r="T132" i="24" s="1"/>
  <c r="U129" i="24" a="1"/>
  <c r="U129" i="24" s="1"/>
  <c r="U130" i="24" a="1"/>
  <c r="U130" i="24" s="1"/>
  <c r="U131" i="24" a="1"/>
  <c r="U131" i="24" s="1"/>
  <c r="U132" i="24" a="1"/>
  <c r="U132" i="24" s="1"/>
  <c r="B129" i="24"/>
  <c r="B130" i="24"/>
  <c r="B131" i="24"/>
  <c r="B132" i="24"/>
  <c r="B86" i="24"/>
  <c r="I86" i="24"/>
  <c r="J86" i="24" a="1"/>
  <c r="J86" i="24" s="1"/>
  <c r="I85" i="24"/>
  <c r="J85" i="24" a="1"/>
  <c r="J85" i="24" s="1"/>
  <c r="B85" i="24"/>
  <c r="B51" i="24"/>
  <c r="D51" i="24" a="1"/>
  <c r="D51" i="24" s="1"/>
  <c r="M22" i="24" s="1" a="1"/>
  <c r="M22" i="24" s="1"/>
  <c r="E51" i="24" a="1"/>
  <c r="E51" i="24" s="1"/>
  <c r="F51" i="24" a="1"/>
  <c r="F51"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5" i="24"/>
  <c r="Q135" i="24"/>
  <c r="U135" i="24" a="1"/>
  <c r="U135" i="24" s="1"/>
  <c r="I105" i="24"/>
  <c r="B88" i="24"/>
  <c r="I88" i="24"/>
  <c r="J88" i="24" a="1"/>
  <c r="J88" i="24" s="1"/>
  <c r="D61" i="24" a="1"/>
  <c r="D61" i="24" s="1"/>
  <c r="E61" i="24" a="1"/>
  <c r="E61" i="24" s="1"/>
  <c r="F61" i="24" a="1"/>
  <c r="F61" i="24" s="1"/>
  <c r="B53" i="24"/>
  <c r="B61"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5" i="24"/>
  <c r="B144" i="24"/>
  <c r="Q144" i="24"/>
  <c r="S144" i="24" a="1"/>
  <c r="S144" i="24" s="1"/>
  <c r="U144" i="24" a="1"/>
  <c r="U144" i="24" s="1"/>
  <c r="J105" i="24" a="1"/>
  <c r="J105" i="24" s="1"/>
  <c r="D53" i="24" a="1"/>
  <c r="D53" i="24" s="1"/>
  <c r="M24" i="24" s="1" a="1"/>
  <c r="M24" i="24" s="1"/>
  <c r="E53" i="24" a="1"/>
  <c r="E53" i="24" s="1"/>
  <c r="F53" i="24" a="1"/>
  <c r="F53"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H8" i="43"/>
  <c r="K19" i="43" a="1"/>
  <c r="G18" i="43" a="1"/>
  <c r="K18" i="43" a="1"/>
  <c r="I22" i="24"/>
  <c r="I24" i="24"/>
  <c r="I32" i="24"/>
  <c r="G19" i="43" a="1"/>
  <c r="M32" i="24" l="1" a="1"/>
  <c r="M32" i="24" s="1"/>
  <c r="G19" i="43"/>
  <c r="K19" i="43"/>
  <c r="G18" i="43"/>
  <c r="K18" i="43"/>
  <c r="K8" i="43"/>
  <c r="H19" i="43"/>
  <c r="J18" i="43" a="1"/>
  <c r="J19" i="43" a="1"/>
  <c r="H18" i="43"/>
  <c r="J8" i="43" a="1"/>
  <c r="G8" i="43" a="1"/>
  <c r="J8" i="43" l="1"/>
  <c r="L8" i="43" s="1"/>
  <c r="I18" i="43"/>
  <c r="I19" i="43"/>
  <c r="G8" i="43"/>
  <c r="I8" i="43" s="1"/>
  <c r="J19" i="43"/>
  <c r="L19" i="43" s="1"/>
  <c r="J18" i="43"/>
  <c r="L18" i="43" s="1"/>
  <c r="O42" i="24" a="1"/>
  <c r="O42" i="24" s="1"/>
  <c r="L42" i="24" a="1"/>
  <c r="L42" i="24" s="1"/>
  <c r="K42" i="24" a="1"/>
  <c r="K42" i="24" s="1"/>
  <c r="B237" i="24"/>
  <c r="E237" i="24"/>
  <c r="F237" i="24" s="1"/>
  <c r="B164" i="24"/>
  <c r="Q164" i="24"/>
  <c r="U164" i="24" a="1"/>
  <c r="U164" i="24" s="1"/>
  <c r="B119" i="24"/>
  <c r="I119" i="24"/>
  <c r="J119" i="24" a="1"/>
  <c r="J119" i="24" s="1"/>
  <c r="B71" i="24"/>
  <c r="D71" i="24" a="1"/>
  <c r="D71" i="24" s="1"/>
  <c r="M42" i="24" s="1" a="1"/>
  <c r="M42" i="24" s="1"/>
  <c r="E71" i="24" a="1"/>
  <c r="E71" i="24" s="1"/>
  <c r="F71" i="24" a="1"/>
  <c r="F71"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2" i="24"/>
  <c r="G237" i="24" l="1"/>
  <c r="O30" i="24" l="1" a="1"/>
  <c r="O30" i="24" s="1"/>
  <c r="L30" i="24" a="1"/>
  <c r="L30" i="24" s="1"/>
  <c r="L31" i="24" a="1"/>
  <c r="L31" i="24" s="1"/>
  <c r="L34" i="24" a="1"/>
  <c r="L34" i="24" s="1"/>
  <c r="L35" i="24" a="1"/>
  <c r="L35" i="24" s="1"/>
  <c r="L36" i="24" a="1"/>
  <c r="L36" i="24" s="1"/>
  <c r="L37" i="24" a="1"/>
  <c r="L37" i="24" s="1"/>
  <c r="L38" i="24" a="1"/>
  <c r="L38" i="24" s="1"/>
  <c r="L40" i="24" a="1"/>
  <c r="L40" i="24" s="1"/>
  <c r="L41" i="24" a="1"/>
  <c r="L41" i="24" s="1"/>
  <c r="L43" i="24" a="1"/>
  <c r="L43" i="24" s="1"/>
  <c r="K30" i="24" a="1"/>
  <c r="K30" i="24" s="1"/>
  <c r="B238" i="24"/>
  <c r="E238" i="24"/>
  <c r="F238" i="24" s="1"/>
  <c r="B142" i="24"/>
  <c r="Q142" i="24"/>
  <c r="U142" i="24" a="1"/>
  <c r="U142" i="24" s="1"/>
  <c r="B103" i="24"/>
  <c r="I103" i="24"/>
  <c r="J103" i="24" a="1"/>
  <c r="J103" i="24" s="1"/>
  <c r="B59" i="24"/>
  <c r="D59" i="24" a="1"/>
  <c r="D59" i="24" s="1"/>
  <c r="M30" i="24" s="1" a="1"/>
  <c r="M30" i="24" s="1"/>
  <c r="E59" i="24" a="1"/>
  <c r="E59" i="24" s="1"/>
  <c r="F59" i="24" a="1"/>
  <c r="F59" i="24" s="1"/>
  <c r="B2325" i="25"/>
  <c r="B2326" i="25"/>
  <c r="B2327" i="25"/>
  <c r="B2328" i="25"/>
  <c r="B2329" i="25"/>
  <c r="B2330" i="25"/>
  <c r="A2325" i="25"/>
  <c r="A2326" i="25"/>
  <c r="A2327" i="25"/>
  <c r="A2328" i="25"/>
  <c r="A2329" i="25"/>
  <c r="A2330" i="25"/>
  <c r="A2324" i="25"/>
  <c r="B2324" i="25"/>
  <c r="I30" i="24"/>
  <c r="G238" i="24" l="1"/>
  <c r="F262" i="24" l="1"/>
  <c r="F263" i="24"/>
  <c r="F264" i="24"/>
  <c r="F265" i="24"/>
  <c r="G262" i="24"/>
  <c r="G263" i="24"/>
  <c r="G264" i="24"/>
  <c r="G265" i="24"/>
  <c r="B17" i="43"/>
  <c r="F17" i="43"/>
  <c r="J262" i="24"/>
  <c r="J263" i="24"/>
  <c r="J264" i="24"/>
  <c r="J265" i="24"/>
  <c r="B265" i="24"/>
  <c r="B264" i="24"/>
  <c r="B263" i="24"/>
  <c r="B262" i="24"/>
  <c r="C12" i="24"/>
  <c r="C3" i="24"/>
  <c r="C10" i="24"/>
  <c r="C11" i="24"/>
  <c r="C6" i="24"/>
  <c r="C9" i="24"/>
  <c r="K17" i="43" a="1"/>
  <c r="C8" i="24"/>
  <c r="C7" i="24"/>
  <c r="G17" i="43" a="1"/>
  <c r="K17" i="43" l="1"/>
  <c r="G17" i="43"/>
  <c r="H17" i="43"/>
  <c r="C2" i="24"/>
  <c r="J17" i="43" a="1"/>
  <c r="I17" i="43" l="1"/>
  <c r="J17" i="43"/>
  <c r="L17" i="43" s="1"/>
  <c r="U125" i="24" l="1" a="1"/>
  <c r="U125" i="24" s="1"/>
  <c r="U126" i="24" a="1"/>
  <c r="U126" i="24" s="1"/>
  <c r="U136" i="24" a="1"/>
  <c r="U136" i="24" s="1"/>
  <c r="U137" i="24" a="1"/>
  <c r="U137" i="24" s="1"/>
  <c r="U138" i="24" a="1"/>
  <c r="U138" i="24" s="1"/>
  <c r="U139" i="24" a="1"/>
  <c r="U139" i="24" s="1"/>
  <c r="U140" i="24" a="1"/>
  <c r="U140" i="24" s="1"/>
  <c r="U141" i="24" a="1"/>
  <c r="U141" i="24" s="1"/>
  <c r="U148" i="24" a="1"/>
  <c r="U148" i="24" s="1"/>
  <c r="U149" i="24" a="1"/>
  <c r="U149" i="24" s="1"/>
  <c r="U150" i="24" a="1"/>
  <c r="U150" i="24" s="1"/>
  <c r="U151" i="24" a="1"/>
  <c r="U151" i="24" s="1"/>
  <c r="U152" i="24" a="1"/>
  <c r="U152" i="24" s="1"/>
  <c r="U153" i="24" a="1"/>
  <c r="U153" i="24" s="1"/>
  <c r="U156" i="24" a="1"/>
  <c r="U156" i="24" s="1"/>
  <c r="U155" i="24" a="1"/>
  <c r="U155" i="24" s="1"/>
  <c r="U154" i="24" a="1"/>
  <c r="U154" i="24" s="1"/>
  <c r="U160" i="24" a="1"/>
  <c r="U160" i="24" s="1"/>
  <c r="U161" i="24" a="1"/>
  <c r="U161" i="24" s="1"/>
  <c r="U162" i="24" a="1"/>
  <c r="U162" i="24" s="1"/>
  <c r="U163" i="24" a="1"/>
  <c r="U163" i="24" s="1"/>
  <c r="U165" i="24" a="1"/>
  <c r="U165" i="24" s="1"/>
  <c r="U166" i="24" a="1"/>
  <c r="U166" i="24" s="1"/>
  <c r="U167" i="24" a="1"/>
  <c r="U167" i="24" s="1"/>
  <c r="S125" i="24" a="1"/>
  <c r="S125" i="24" s="1"/>
  <c r="S126" i="24" a="1"/>
  <c r="S126" i="24" s="1"/>
  <c r="S127" i="24" a="1"/>
  <c r="S127" i="24" s="1"/>
  <c r="S136" i="24" a="1"/>
  <c r="S136" i="24" s="1"/>
  <c r="S139" i="24" a="1"/>
  <c r="S139" i="24" s="1"/>
  <c r="S140" i="24" a="1"/>
  <c r="S140" i="24" s="1"/>
  <c r="S141" i="24" a="1"/>
  <c r="S141" i="24" s="1"/>
  <c r="S143" i="24" a="1"/>
  <c r="S143" i="24" s="1"/>
  <c r="S148" i="24" a="1"/>
  <c r="S148" i="24" s="1"/>
  <c r="S149" i="24" a="1"/>
  <c r="S149" i="24" s="1"/>
  <c r="S150" i="24" a="1"/>
  <c r="S150" i="24" s="1"/>
  <c r="S151" i="24" a="1"/>
  <c r="S151" i="24" s="1"/>
  <c r="S152" i="24" a="1"/>
  <c r="S152" i="24" s="1"/>
  <c r="S153" i="24" a="1"/>
  <c r="S153" i="24" s="1"/>
  <c r="S156" i="24" a="1"/>
  <c r="S156" i="24" s="1"/>
  <c r="S155" i="24" a="1"/>
  <c r="S155" i="24" s="1"/>
  <c r="S154" i="24" a="1"/>
  <c r="S154" i="24" s="1"/>
  <c r="S160" i="24" a="1"/>
  <c r="S160" i="24" s="1"/>
  <c r="S161" i="24" a="1"/>
  <c r="S161" i="24" s="1"/>
  <c r="S162" i="24" a="1"/>
  <c r="S162" i="24" s="1"/>
  <c r="S163" i="24" a="1"/>
  <c r="S163" i="24" s="1"/>
  <c r="S165" i="24" a="1"/>
  <c r="S165" i="24" s="1"/>
  <c r="S166" i="24" a="1"/>
  <c r="S166" i="24" s="1"/>
  <c r="S167" i="24" a="1"/>
  <c r="S167" i="24" s="1"/>
  <c r="T127" i="24" a="1"/>
  <c r="T127" i="24" s="1"/>
  <c r="T136" i="24" a="1"/>
  <c r="T136" i="24" s="1"/>
  <c r="T137" i="24" a="1"/>
  <c r="T137" i="24" s="1"/>
  <c r="T138" i="24" a="1"/>
  <c r="T138" i="24" s="1"/>
  <c r="T141" i="24" a="1"/>
  <c r="T141" i="24" s="1"/>
  <c r="T146" i="24" a="1"/>
  <c r="T146" i="24" s="1"/>
  <c r="T147" i="24" a="1"/>
  <c r="T147" i="24" s="1"/>
  <c r="T153" i="24" a="1"/>
  <c r="T153" i="24" s="1"/>
  <c r="T160" i="24" a="1"/>
  <c r="T160" i="24" s="1"/>
  <c r="T161" i="24" a="1"/>
  <c r="T161" i="24" s="1"/>
  <c r="T165" i="24" a="1"/>
  <c r="T165" i="24" s="1"/>
  <c r="T166" i="24" a="1"/>
  <c r="T166" i="24" s="1"/>
  <c r="T167" i="24" a="1"/>
  <c r="T167" i="24" s="1"/>
  <c r="K188" i="24" a="1"/>
  <c r="K188" i="24" s="1"/>
  <c r="K180" i="24" a="1"/>
  <c r="K180" i="24" s="1"/>
  <c r="K173" i="24" a="1"/>
  <c r="K173" i="24" s="1"/>
  <c r="K182" i="24" a="1"/>
  <c r="K182" i="24" s="1"/>
  <c r="K183" i="24" a="1"/>
  <c r="K183" i="24" s="1"/>
  <c r="K181" i="24" a="1"/>
  <c r="K181" i="24" s="1"/>
  <c r="K189" i="24" a="1"/>
  <c r="K189" i="24" s="1"/>
  <c r="K179" i="24" a="1"/>
  <c r="K179" i="24" s="1"/>
  <c r="K186" i="24" a="1"/>
  <c r="K186" i="24" s="1"/>
  <c r="K184" i="24" a="1"/>
  <c r="K184" i="24" s="1"/>
  <c r="K200" i="24" a="1"/>
  <c r="K200" i="24" s="1"/>
  <c r="K197" i="24" a="1"/>
  <c r="K197" i="24" s="1"/>
  <c r="K199" i="24" a="1"/>
  <c r="K199" i="24" s="1"/>
  <c r="K201" i="24" a="1"/>
  <c r="K201" i="24" s="1"/>
  <c r="K198" i="24" a="1"/>
  <c r="K198" i="24" s="1"/>
  <c r="K190" i="24" a="1"/>
  <c r="K190" i="24" s="1"/>
  <c r="K192" i="24" a="1"/>
  <c r="K192" i="24" s="1"/>
  <c r="K191" i="24" a="1"/>
  <c r="K191" i="24" s="1"/>
  <c r="K178" i="24" a="1"/>
  <c r="K178" i="24" s="1"/>
  <c r="K177" i="24" a="1"/>
  <c r="K177" i="24" s="1"/>
  <c r="K174" i="24" a="1"/>
  <c r="K174" i="24" s="1"/>
  <c r="K176" i="24" a="1"/>
  <c r="K176" i="24" s="1"/>
  <c r="K175" i="24" a="1"/>
  <c r="K175" i="24" s="1"/>
  <c r="K194" i="24" a="1"/>
  <c r="K194" i="24" s="1"/>
  <c r="K193" i="24" a="1"/>
  <c r="K193" i="24" s="1"/>
  <c r="K195" i="24" a="1"/>
  <c r="K195" i="24" s="1"/>
  <c r="K196" i="24" a="1"/>
  <c r="K19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6" i="24"/>
  <c r="B127" i="24"/>
  <c r="Q127" i="24"/>
  <c r="B49" i="24"/>
  <c r="D49" i="24" a="1"/>
  <c r="D49" i="24" s="1"/>
  <c r="M20" i="24" s="1" a="1"/>
  <c r="M20" i="24" s="1"/>
  <c r="E49" i="24" a="1"/>
  <c r="E49" i="24" s="1"/>
  <c r="F49" i="24" a="1"/>
  <c r="F49" i="24" s="1"/>
  <c r="B81" i="24"/>
  <c r="I81" i="24"/>
  <c r="J81" i="24" a="1"/>
  <c r="J81"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31" i="24" l="1"/>
  <c r="G232" i="24"/>
  <c r="G233" i="24"/>
  <c r="G234" i="24"/>
  <c r="G235" i="24"/>
  <c r="G236" i="24"/>
  <c r="E231" i="24"/>
  <c r="E232" i="24"/>
  <c r="E233" i="24"/>
  <c r="E234" i="24"/>
  <c r="E235" i="24"/>
  <c r="E236" i="24"/>
  <c r="E239" i="24"/>
  <c r="G239" i="24" s="1"/>
  <c r="E240" i="24"/>
  <c r="G240" i="24" s="1"/>
  <c r="E241" i="24"/>
  <c r="G241" i="24" s="1"/>
  <c r="E242" i="24"/>
  <c r="G242" i="24" s="1"/>
  <c r="E243" i="24"/>
  <c r="G243" i="24" s="1"/>
  <c r="E244" i="24"/>
  <c r="G244"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7" i="24" l="1"/>
  <c r="D67" i="24" a="1"/>
  <c r="D67" i="24" s="1"/>
  <c r="M38" i="24" s="1" a="1"/>
  <c r="M38" i="24" s="1"/>
  <c r="E67" i="24" a="1"/>
  <c r="E67" i="24" s="1"/>
  <c r="F67" i="24" a="1"/>
  <c r="F67" i="24" s="1"/>
  <c r="A818" i="44"/>
  <c r="B818" i="44"/>
  <c r="C818" i="44"/>
  <c r="A819" i="44"/>
  <c r="B819" i="44"/>
  <c r="C819" i="44"/>
  <c r="B179" i="24"/>
  <c r="B186" i="24"/>
  <c r="A815" i="44"/>
  <c r="A816" i="44"/>
  <c r="A817" i="44"/>
  <c r="B815" i="44"/>
  <c r="B816" i="44"/>
  <c r="B817" i="44"/>
  <c r="C815" i="44"/>
  <c r="C816" i="44"/>
  <c r="C817" i="44"/>
  <c r="B155" i="24"/>
  <c r="B154" i="24"/>
  <c r="Q155" i="24"/>
  <c r="Q154" i="24"/>
  <c r="B194" i="24"/>
  <c r="B193" i="24"/>
  <c r="B195" i="24"/>
  <c r="B156" i="24"/>
  <c r="Q156" i="24"/>
  <c r="K38" i="24" a="1"/>
  <c r="K38" i="24" s="1"/>
  <c r="O38" i="24" a="1"/>
  <c r="O38" i="24" s="1"/>
  <c r="B115" i="24"/>
  <c r="I115" i="24"/>
  <c r="J115" i="24" a="1"/>
  <c r="J115"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8" i="24"/>
  <c r="Q162" i="24" l="1"/>
  <c r="O19" i="24" l="1" a="1"/>
  <c r="O19" i="24" s="1"/>
  <c r="O25" i="24" a="1"/>
  <c r="O25" i="24" s="1"/>
  <c r="O26" i="24" a="1"/>
  <c r="O26" i="24" s="1"/>
  <c r="O28" i="24" a="1"/>
  <c r="O28" i="24" s="1"/>
  <c r="O27" i="24" a="1"/>
  <c r="O27" i="24" s="1"/>
  <c r="O29" i="24" a="1"/>
  <c r="O29" i="24" s="1"/>
  <c r="O31" i="24" a="1"/>
  <c r="O31" i="24" s="1"/>
  <c r="O34" i="24" a="1"/>
  <c r="O34" i="24" s="1"/>
  <c r="O35" i="24" a="1"/>
  <c r="O35" i="24" s="1"/>
  <c r="O36" i="24" a="1"/>
  <c r="O36" i="24" s="1"/>
  <c r="O37" i="24" a="1"/>
  <c r="O37" i="24" s="1"/>
  <c r="O40" i="24" a="1"/>
  <c r="O40" i="24" s="1"/>
  <c r="O41" i="24" a="1"/>
  <c r="O41" i="24" s="1"/>
  <c r="O43" i="24" a="1"/>
  <c r="O43" i="24" s="1"/>
  <c r="N224" i="24" l="1" a="1"/>
  <c r="N224" i="24" s="1"/>
  <c r="N225" i="24" a="1"/>
  <c r="N225"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4" i="24" a="1"/>
  <c r="K34" i="24" s="1"/>
  <c r="K35" i="24" a="1"/>
  <c r="K35" i="24" s="1"/>
  <c r="K36" i="24" a="1"/>
  <c r="K36" i="24" s="1"/>
  <c r="K37" i="24" a="1"/>
  <c r="K37" i="24" s="1"/>
  <c r="K40" i="24" a="1"/>
  <c r="K40" i="24" s="1"/>
  <c r="K41" i="24" a="1"/>
  <c r="K41" i="24" s="1"/>
  <c r="K43" i="24" a="1"/>
  <c r="K43" i="24" s="1"/>
  <c r="N39" i="24" l="1" a="1"/>
  <c r="N39" i="24" s="1"/>
  <c r="P39" i="24" s="1"/>
  <c r="N33" i="24" a="1"/>
  <c r="N33" i="24" s="1"/>
  <c r="P33" i="24" s="1"/>
  <c r="N23" i="24" a="1"/>
  <c r="N23" i="24" s="1"/>
  <c r="P23" i="24" s="1"/>
  <c r="N21" i="24" a="1"/>
  <c r="N21" i="24" s="1"/>
  <c r="P21" i="24" s="1"/>
  <c r="N22" i="24" a="1"/>
  <c r="N22" i="24" s="1"/>
  <c r="P22" i="24" s="1"/>
  <c r="N32" i="24" a="1"/>
  <c r="N32" i="24" s="1"/>
  <c r="P32" i="24" s="1"/>
  <c r="N42" i="24" a="1"/>
  <c r="N42" i="24" s="1"/>
  <c r="P42" i="24" s="1"/>
  <c r="N24" i="24" a="1"/>
  <c r="N24" i="24" s="1"/>
  <c r="P24" i="24" s="1"/>
  <c r="N30" i="24" a="1"/>
  <c r="N30" i="24" s="1"/>
  <c r="P30" i="24" s="1"/>
  <c r="N20" i="24" a="1"/>
  <c r="N20" i="24" s="1"/>
  <c r="P20" i="24" s="1"/>
  <c r="N19" i="24" a="1"/>
  <c r="N19" i="24" s="1"/>
  <c r="N38" i="24" a="1"/>
  <c r="N38" i="24" s="1"/>
  <c r="P38" i="24" s="1"/>
  <c r="N34" i="24" a="1"/>
  <c r="N34" i="24" s="1"/>
  <c r="N31" i="24" a="1"/>
  <c r="N31" i="24" s="1"/>
  <c r="N43" i="24" a="1"/>
  <c r="N43" i="24" s="1"/>
  <c r="N29" i="24" a="1"/>
  <c r="N29" i="24" s="1"/>
  <c r="N41" i="24" a="1"/>
  <c r="N41" i="24" s="1"/>
  <c r="N27" i="24" a="1"/>
  <c r="N27" i="24" s="1"/>
  <c r="N40" i="24" a="1"/>
  <c r="N40" i="24" s="1"/>
  <c r="N28" i="24" a="1"/>
  <c r="N28" i="24" s="1"/>
  <c r="N37" i="24" a="1"/>
  <c r="N37" i="24" s="1"/>
  <c r="N26" i="24" a="1"/>
  <c r="N26" i="24" s="1"/>
  <c r="N36" i="24" a="1"/>
  <c r="N36" i="24" s="1"/>
  <c r="N35" i="24" a="1"/>
  <c r="N35" i="24" s="1"/>
  <c r="B16" i="43"/>
  <c r="F16" i="43"/>
  <c r="K16" i="43" a="1"/>
  <c r="J16" i="43" a="1"/>
  <c r="J16" i="43" l="1"/>
  <c r="M16" i="43" s="1" a="1"/>
  <c r="M16" i="43" s="1"/>
  <c r="K16" i="43"/>
  <c r="B239" i="24"/>
  <c r="B240" i="24"/>
  <c r="B241" i="24"/>
  <c r="B242" i="24"/>
  <c r="B243" i="24"/>
  <c r="B244" i="24"/>
  <c r="F239" i="24"/>
  <c r="F240" i="24"/>
  <c r="F241" i="24"/>
  <c r="F242" i="24"/>
  <c r="F243" i="24"/>
  <c r="F244" i="24"/>
  <c r="G16" i="43" a="1"/>
  <c r="G16" i="43" l="1"/>
  <c r="L16" i="43"/>
  <c r="J79" i="24" l="1" a="1"/>
  <c r="J79" i="24" s="1"/>
  <c r="J80" i="24" a="1"/>
  <c r="J80" i="24" s="1"/>
  <c r="J91" i="24" a="1"/>
  <c r="J91" i="24" s="1"/>
  <c r="J92" i="24" a="1"/>
  <c r="J92" i="24" s="1"/>
  <c r="J93" i="24" a="1"/>
  <c r="J93" i="24" s="1"/>
  <c r="J98" i="24" a="1"/>
  <c r="J98" i="24" s="1"/>
  <c r="J99" i="24" a="1"/>
  <c r="J99" i="24" s="1"/>
  <c r="J94" i="24" a="1"/>
  <c r="J94" i="24" s="1"/>
  <c r="J95" i="24" a="1"/>
  <c r="J95" i="24" s="1"/>
  <c r="J96" i="24" a="1"/>
  <c r="J96" i="24" s="1"/>
  <c r="J97" i="24" a="1"/>
  <c r="J97" i="24" s="1"/>
  <c r="J100" i="24" a="1"/>
  <c r="J100" i="24" s="1"/>
  <c r="J101" i="24" a="1"/>
  <c r="J101" i="24" s="1"/>
  <c r="J102" i="24" a="1"/>
  <c r="J102" i="24" s="1"/>
  <c r="J104" i="24" a="1"/>
  <c r="J104" i="24" s="1"/>
  <c r="J107" i="24" a="1"/>
  <c r="J107" i="24" s="1"/>
  <c r="J108" i="24" a="1"/>
  <c r="J108" i="24" s="1"/>
  <c r="J109" i="24" a="1"/>
  <c r="J109" i="24" s="1"/>
  <c r="J110" i="24" a="1"/>
  <c r="J110" i="24" s="1"/>
  <c r="J111" i="24" a="1"/>
  <c r="J111" i="24" s="1"/>
  <c r="J112" i="24" a="1"/>
  <c r="J112" i="24" s="1"/>
  <c r="J113" i="24" a="1"/>
  <c r="J113" i="24" s="1"/>
  <c r="J114" i="24" a="1"/>
  <c r="J114" i="24" s="1"/>
  <c r="J117" i="24" a="1"/>
  <c r="J117" i="24" s="1"/>
  <c r="J118" i="24" a="1"/>
  <c r="J118" i="24" s="1"/>
  <c r="J120" i="24" a="1"/>
  <c r="J120" i="24" s="1"/>
  <c r="B80" i="24"/>
  <c r="B15" i="43"/>
  <c r="F15" i="43"/>
  <c r="B210" i="24"/>
  <c r="B209" i="24"/>
  <c r="B208" i="24"/>
  <c r="K15" i="43" a="1"/>
  <c r="J15" i="43" a="1"/>
  <c r="J15" i="43" l="1"/>
  <c r="M15" i="43" s="1"/>
  <c r="K15" i="43"/>
  <c r="B175" i="24"/>
  <c r="B191" i="24"/>
  <c r="B198" i="24"/>
  <c r="B184" i="24"/>
  <c r="H15" i="43"/>
  <c r="G15" i="43" a="1"/>
  <c r="G15" i="43" l="1"/>
  <c r="I15" i="43" s="1"/>
  <c r="L15" i="43"/>
  <c r="I79" i="24"/>
  <c r="I80" i="24"/>
  <c r="I91" i="24"/>
  <c r="I92" i="24"/>
  <c r="I93" i="24"/>
  <c r="I98" i="24"/>
  <c r="I99" i="24"/>
  <c r="I94" i="24"/>
  <c r="I95" i="24"/>
  <c r="I96" i="24"/>
  <c r="I97" i="24"/>
  <c r="I100" i="24"/>
  <c r="I101" i="24"/>
  <c r="I102" i="24"/>
  <c r="I104" i="24"/>
  <c r="I107" i="24"/>
  <c r="I108" i="24"/>
  <c r="I109" i="24"/>
  <c r="I110" i="24"/>
  <c r="I111" i="24"/>
  <c r="I112" i="24"/>
  <c r="I113" i="24"/>
  <c r="I114" i="24"/>
  <c r="I117" i="24"/>
  <c r="I118" i="24"/>
  <c r="I120" i="24"/>
  <c r="B14" i="43"/>
  <c r="F14" i="43"/>
  <c r="B13" i="43"/>
  <c r="F13" i="43"/>
  <c r="F48" i="24" a="1"/>
  <c r="F48" i="24" s="1"/>
  <c r="F54" i="24" a="1"/>
  <c r="F54" i="24" s="1"/>
  <c r="F55" i="24" a="1"/>
  <c r="F55" i="24" s="1"/>
  <c r="F57" i="24" a="1"/>
  <c r="F57" i="24" s="1"/>
  <c r="F56" i="24" a="1"/>
  <c r="F56" i="24" s="1"/>
  <c r="F58" i="24" a="1"/>
  <c r="F58" i="24" s="1"/>
  <c r="F60" i="24" a="1"/>
  <c r="F60" i="24" s="1"/>
  <c r="F63" i="24" a="1"/>
  <c r="F63" i="24" s="1"/>
  <c r="F64" i="24" a="1"/>
  <c r="F64" i="24" s="1"/>
  <c r="F65" i="24" a="1"/>
  <c r="F65" i="24" s="1"/>
  <c r="F66" i="24" a="1"/>
  <c r="F66" i="24" s="1"/>
  <c r="F69" i="24" a="1"/>
  <c r="F69" i="24" s="1"/>
  <c r="F70" i="24" a="1"/>
  <c r="F70" i="24" s="1"/>
  <c r="F72" i="24" a="1"/>
  <c r="F72" i="24" s="1"/>
  <c r="E48" i="24" a="1"/>
  <c r="E48" i="24" s="1"/>
  <c r="E54" i="24" a="1"/>
  <c r="E54" i="24" s="1"/>
  <c r="E55" i="24" a="1"/>
  <c r="E55" i="24" s="1"/>
  <c r="E57" i="24" a="1"/>
  <c r="E57" i="24" s="1"/>
  <c r="E56" i="24" a="1"/>
  <c r="E56" i="24" s="1"/>
  <c r="E58" i="24" a="1"/>
  <c r="E58" i="24" s="1"/>
  <c r="E60" i="24" a="1"/>
  <c r="E60" i="24" s="1"/>
  <c r="E63" i="24" a="1"/>
  <c r="E63" i="24" s="1"/>
  <c r="E64" i="24" a="1"/>
  <c r="E64" i="24" s="1"/>
  <c r="E65" i="24" a="1"/>
  <c r="E65" i="24" s="1"/>
  <c r="E66" i="24" a="1"/>
  <c r="E66" i="24" s="1"/>
  <c r="E69" i="24" a="1"/>
  <c r="E69" i="24" s="1"/>
  <c r="E70" i="24" a="1"/>
  <c r="E70" i="24" s="1"/>
  <c r="E72" i="24" a="1"/>
  <c r="E72" i="24" s="1"/>
  <c r="D48" i="24" a="1"/>
  <c r="D48" i="24" s="1"/>
  <c r="M19" i="24" s="1" a="1"/>
  <c r="M19" i="24" s="1"/>
  <c r="P19" i="24" s="1"/>
  <c r="D54" i="24" a="1"/>
  <c r="D54" i="24" s="1"/>
  <c r="M25" i="24" s="1" a="1"/>
  <c r="M25" i="24" s="1"/>
  <c r="D55" i="24" a="1"/>
  <c r="D55" i="24" s="1"/>
  <c r="M26" i="24" s="1" a="1"/>
  <c r="M26" i="24" s="1"/>
  <c r="P26" i="24" s="1"/>
  <c r="D57" i="24" a="1"/>
  <c r="D57" i="24" s="1"/>
  <c r="M28" i="24" s="1" a="1"/>
  <c r="M28" i="24" s="1"/>
  <c r="P28" i="24" s="1"/>
  <c r="D56" i="24" a="1"/>
  <c r="D56" i="24" s="1"/>
  <c r="M27" i="24" s="1" a="1"/>
  <c r="M27" i="24" s="1"/>
  <c r="P27" i="24" s="1"/>
  <c r="D58" i="24" a="1"/>
  <c r="D58" i="24" s="1"/>
  <c r="M29" i="24" s="1" a="1"/>
  <c r="M29" i="24" s="1"/>
  <c r="D60" i="24" a="1"/>
  <c r="D60" i="24" s="1"/>
  <c r="M31" i="24" s="1" a="1"/>
  <c r="M31" i="24" s="1"/>
  <c r="P31" i="24" s="1"/>
  <c r="D63" i="24" a="1"/>
  <c r="D63" i="24" s="1"/>
  <c r="M34" i="24" s="1" a="1"/>
  <c r="M34" i="24" s="1"/>
  <c r="P34" i="24" s="1"/>
  <c r="D64" i="24" a="1"/>
  <c r="D64" i="24" s="1"/>
  <c r="M35" i="24" s="1" a="1"/>
  <c r="M35" i="24" s="1"/>
  <c r="P35" i="24" s="1"/>
  <c r="D65" i="24" a="1"/>
  <c r="D65" i="24" s="1"/>
  <c r="M36" i="24" s="1" a="1"/>
  <c r="M36" i="24" s="1"/>
  <c r="P36" i="24" s="1"/>
  <c r="D66" i="24" a="1"/>
  <c r="D66" i="24" s="1"/>
  <c r="M37" i="24" s="1" a="1"/>
  <c r="M37" i="24" s="1"/>
  <c r="P37" i="24" s="1"/>
  <c r="D69" i="24" a="1"/>
  <c r="D69" i="24" s="1"/>
  <c r="M40" i="24" s="1" a="1"/>
  <c r="M40" i="24" s="1"/>
  <c r="P40" i="24" s="1"/>
  <c r="D70" i="24" a="1"/>
  <c r="D70" i="24" s="1"/>
  <c r="M41" i="24" s="1" a="1"/>
  <c r="M41" i="24" s="1"/>
  <c r="P41" i="24" s="1"/>
  <c r="D72" i="24" a="1"/>
  <c r="D72" i="24" s="1"/>
  <c r="M43" i="24" s="1" a="1"/>
  <c r="M43" i="24" s="1"/>
  <c r="P43" i="24" s="1"/>
  <c r="B56" i="24"/>
  <c r="B58" i="24"/>
  <c r="B60" i="24"/>
  <c r="B63" i="24"/>
  <c r="B64" i="24"/>
  <c r="B65" i="24"/>
  <c r="B66" i="24"/>
  <c r="B69" i="24"/>
  <c r="B70" i="24"/>
  <c r="B72"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5" i="24"/>
  <c r="I28" i="24"/>
  <c r="I25" i="24"/>
  <c r="I41" i="24"/>
  <c r="I43" i="24"/>
  <c r="K14" i="43" a="1"/>
  <c r="I31" i="24"/>
  <c r="G14" i="43" a="1"/>
  <c r="I34" i="24"/>
  <c r="I19" i="24"/>
  <c r="J13" i="43" a="1"/>
  <c r="I26" i="24"/>
  <c r="I37" i="24"/>
  <c r="I29" i="24"/>
  <c r="I36" i="24"/>
  <c r="C5" i="24"/>
  <c r="I40" i="24"/>
  <c r="I27" i="24"/>
  <c r="K13" i="43" a="1"/>
  <c r="G33" i="24" l="1" a="1"/>
  <c r="G33" i="24" s="1"/>
  <c r="G39" i="24" a="1"/>
  <c r="G39" i="24" s="1"/>
  <c r="G21" i="24" a="1"/>
  <c r="G21" i="24" s="1"/>
  <c r="G23" i="24" a="1"/>
  <c r="G23" i="24" s="1"/>
  <c r="G32" i="24" a="1"/>
  <c r="G32" i="24" s="1"/>
  <c r="G22" i="24" a="1"/>
  <c r="G22" i="24" s="1"/>
  <c r="G24" i="24" a="1"/>
  <c r="G24" i="24" s="1"/>
  <c r="G42" i="24" a="1"/>
  <c r="G42" i="24" s="1"/>
  <c r="G30" i="24" a="1"/>
  <c r="G30" i="24" s="1"/>
  <c r="G20" i="24" a="1"/>
  <c r="G20" i="24" s="1"/>
  <c r="G38" i="24" a="1"/>
  <c r="G38" i="24" s="1"/>
  <c r="P25" i="24"/>
  <c r="P29" i="24"/>
  <c r="G19" i="24" a="1"/>
  <c r="G19" i="24" s="1"/>
  <c r="G25" i="24" a="1"/>
  <c r="G25" i="24" s="1"/>
  <c r="G36" i="24" a="1"/>
  <c r="G36" i="24" s="1"/>
  <c r="G31" i="24" a="1"/>
  <c r="G31" i="24" s="1"/>
  <c r="G26" i="24" a="1"/>
  <c r="G26" i="24" s="1"/>
  <c r="G37" i="24" a="1"/>
  <c r="G37" i="24" s="1"/>
  <c r="G43" i="24" a="1"/>
  <c r="G43" i="24" s="1"/>
  <c r="G34" i="24" a="1"/>
  <c r="G34" i="24" s="1"/>
  <c r="G28" i="24" a="1"/>
  <c r="G28" i="24" s="1"/>
  <c r="G40" i="24" a="1"/>
  <c r="G40" i="24" s="1"/>
  <c r="G41" i="24" a="1"/>
  <c r="G41" i="24" s="1"/>
  <c r="G35" i="24" a="1"/>
  <c r="G35"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1" i="24" l="1"/>
  <c r="B92" i="24"/>
  <c r="B93" i="24"/>
  <c r="B98" i="24"/>
  <c r="B99" i="24"/>
  <c r="B94" i="24"/>
  <c r="B95" i="24"/>
  <c r="B96" i="24"/>
  <c r="B97" i="24"/>
  <c r="B100" i="24"/>
  <c r="B101" i="24"/>
  <c r="B102" i="24"/>
  <c r="B104" i="24"/>
  <c r="B107" i="24"/>
  <c r="B108" i="24"/>
  <c r="B109" i="24"/>
  <c r="B110" i="24"/>
  <c r="B111" i="24"/>
  <c r="B112" i="24"/>
  <c r="B113" i="24"/>
  <c r="B114" i="24"/>
  <c r="B117" i="24"/>
  <c r="B118" i="24"/>
  <c r="B120" i="24"/>
  <c r="B79" i="24"/>
  <c r="H33" i="24" a="1"/>
  <c r="H39" i="24" a="1"/>
  <c r="H36" i="24" a="1"/>
  <c r="H40" i="24" a="1"/>
  <c r="H24" i="24" a="1"/>
  <c r="H32" i="24" a="1"/>
  <c r="H21" i="24" a="1"/>
  <c r="H41" i="24" a="1"/>
  <c r="H37" i="24" a="1"/>
  <c r="H30" i="24" a="1"/>
  <c r="H26" i="24" a="1"/>
  <c r="H25" i="24" a="1"/>
  <c r="H20" i="24" a="1"/>
  <c r="H34" i="24" a="1"/>
  <c r="H23" i="24" a="1"/>
  <c r="H29" i="24" a="1"/>
  <c r="H19" i="24" a="1"/>
  <c r="H28" i="24" a="1"/>
  <c r="H22" i="24" a="1"/>
  <c r="H27" i="24" a="1"/>
  <c r="H35" i="24" a="1"/>
  <c r="H42" i="24" a="1"/>
  <c r="H38" i="24" a="1"/>
  <c r="H43" i="24" a="1"/>
  <c r="H31" i="24" a="1"/>
  <c r="H33" i="24" l="1"/>
  <c r="H39" i="24"/>
  <c r="H21" i="24"/>
  <c r="H23" i="24"/>
  <c r="H32" i="24"/>
  <c r="H22" i="24"/>
  <c r="H24" i="24"/>
  <c r="H42" i="24"/>
  <c r="H30" i="24"/>
  <c r="H20" i="24"/>
  <c r="H38" i="24"/>
  <c r="H41" i="24"/>
  <c r="H26" i="24"/>
  <c r="H31" i="24"/>
  <c r="H37" i="24"/>
  <c r="H28" i="24"/>
  <c r="H40" i="24"/>
  <c r="H43" i="24"/>
  <c r="H34" i="24"/>
  <c r="H19" i="24"/>
  <c r="H27" i="24"/>
  <c r="H35" i="24"/>
  <c r="H25" i="24"/>
  <c r="H29" i="24"/>
  <c r="H36"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90" i="24"/>
  <c r="B192" i="24"/>
  <c r="B178" i="24"/>
  <c r="B174" i="24"/>
  <c r="B176" i="24"/>
  <c r="B200" i="24"/>
  <c r="B197" i="24"/>
  <c r="B199" i="24"/>
  <c r="B201" i="24"/>
  <c r="F4" i="43"/>
  <c r="F5" i="43"/>
  <c r="F6" i="43"/>
  <c r="F7" i="43"/>
  <c r="B7" i="43"/>
  <c r="B4" i="46"/>
  <c r="B5" i="46"/>
  <c r="B6" i="46"/>
  <c r="B7" i="46"/>
  <c r="B8" i="46"/>
  <c r="B9" i="46"/>
  <c r="B10" i="46"/>
  <c r="B11" i="46"/>
  <c r="B12" i="46"/>
  <c r="B13" i="46"/>
  <c r="B14" i="46"/>
  <c r="B15" i="46"/>
  <c r="B16" i="46"/>
  <c r="B17" i="46"/>
  <c r="B18" i="46"/>
  <c r="B19" i="46"/>
  <c r="B20" i="46"/>
  <c r="G10" i="43" a="1"/>
  <c r="G7" i="43" a="1"/>
  <c r="G4" i="43" a="1"/>
  <c r="G6" i="43" a="1"/>
  <c r="K12" i="43" a="1"/>
  <c r="G5" i="43" a="1"/>
  <c r="K7" i="43" a="1"/>
  <c r="G12" i="43" a="1"/>
  <c r="K10" i="43" a="1"/>
  <c r="K11" i="43" a="1"/>
  <c r="G11" i="43" a="1"/>
  <c r="K9" i="43" a="1"/>
  <c r="G9" i="43" a="1"/>
  <c r="T145" i="24" l="1" a="1"/>
  <c r="T145" i="24" s="1"/>
  <c r="S145" i="24" a="1"/>
  <c r="S145" i="24" s="1"/>
  <c r="T157" i="24" a="1"/>
  <c r="T157" i="24" s="1"/>
  <c r="S157" i="24" a="1"/>
  <c r="S157" i="24" s="1"/>
  <c r="S158" i="24" a="1"/>
  <c r="S158" i="24" s="1"/>
  <c r="T158" i="24" a="1"/>
  <c r="T158" i="24" s="1"/>
  <c r="S159" i="24" a="1"/>
  <c r="S159" i="24" s="1"/>
  <c r="T159" i="24" a="1"/>
  <c r="T159" i="24" s="1"/>
  <c r="S128" i="24" a="1"/>
  <c r="S128" i="24" s="1"/>
  <c r="T128" i="24" a="1"/>
  <c r="T128" i="24" s="1"/>
  <c r="G9" i="43"/>
  <c r="T134" i="24" a="1"/>
  <c r="T134" i="24" s="1"/>
  <c r="T133" i="24" a="1"/>
  <c r="T133" i="24" s="1"/>
  <c r="S133" i="24" a="1"/>
  <c r="S133" i="24" s="1"/>
  <c r="S135" i="24" a="1"/>
  <c r="S135" i="24" s="1"/>
  <c r="T135" i="24" a="1"/>
  <c r="T135" i="24" s="1"/>
  <c r="T144" i="24" a="1"/>
  <c r="T144" i="24" s="1"/>
  <c r="T164" i="24" a="1"/>
  <c r="T164" i="24" s="1"/>
  <c r="S164" i="24" a="1"/>
  <c r="S164" i="24" s="1"/>
  <c r="S142" i="24" a="1"/>
  <c r="S142" i="24" s="1"/>
  <c r="T142" i="24" a="1"/>
  <c r="T142" i="24" s="1"/>
  <c r="S137" i="24" a="1"/>
  <c r="S137" i="24" s="1"/>
  <c r="T125" i="24" a="1"/>
  <c r="T125" i="24" s="1"/>
  <c r="T140" i="24" a="1"/>
  <c r="T140" i="24" s="1"/>
  <c r="T162" i="24" a="1"/>
  <c r="T162" i="24" s="1"/>
  <c r="S138" i="24" a="1"/>
  <c r="S138" i="24" s="1"/>
  <c r="T143" i="24" a="1"/>
  <c r="T143" i="24" s="1"/>
  <c r="T149" i="24" a="1"/>
  <c r="T149" i="24" s="1"/>
  <c r="T152" i="24" a="1"/>
  <c r="T152" i="24" s="1"/>
  <c r="T154" i="24" a="1"/>
  <c r="T154" i="24" s="1"/>
  <c r="S147" i="24" a="1"/>
  <c r="S147" i="24" s="1"/>
  <c r="T148" i="24" a="1"/>
  <c r="T148" i="24" s="1"/>
  <c r="U146" i="24" a="1"/>
  <c r="U146" i="24" s="1"/>
  <c r="T156" i="24" a="1"/>
  <c r="T156" i="24" s="1"/>
  <c r="U147" i="24" a="1"/>
  <c r="U147" i="24" s="1"/>
  <c r="T163" i="24" a="1"/>
  <c r="T163" i="24" s="1"/>
  <c r="T139" i="24" a="1"/>
  <c r="T139" i="24" s="1"/>
  <c r="T150" i="24" a="1"/>
  <c r="T150" i="24" s="1"/>
  <c r="T126" i="24" a="1"/>
  <c r="T126" i="24" s="1"/>
  <c r="T155" i="24" a="1"/>
  <c r="T155" i="24" s="1"/>
  <c r="U143" i="24" a="1"/>
  <c r="U143" i="24" s="1"/>
  <c r="T151" i="24" a="1"/>
  <c r="T151" i="24" s="1"/>
  <c r="S146" i="24" a="1"/>
  <c r="S146" i="24" s="1"/>
  <c r="U127" i="24" a="1"/>
  <c r="U127" i="24" s="1"/>
  <c r="G12" i="43"/>
  <c r="K12" i="43"/>
  <c r="G11" i="43"/>
  <c r="K11" i="43"/>
  <c r="G10" i="43"/>
  <c r="K10" i="43"/>
  <c r="K9" i="43"/>
  <c r="G7" i="43"/>
  <c r="G6" i="43"/>
  <c r="G5" i="43"/>
  <c r="G4" i="43"/>
  <c r="K7" i="43"/>
  <c r="J5" i="43" a="1"/>
  <c r="J6" i="43" a="1"/>
  <c r="J4" i="43" a="1"/>
  <c r="J9" i="43" a="1"/>
  <c r="J12" i="43" a="1"/>
  <c r="H7" i="43"/>
  <c r="J10" i="43" a="1"/>
  <c r="J11" i="43" a="1"/>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5" i="24"/>
  <c r="Q126" i="24"/>
  <c r="Q136" i="24"/>
  <c r="Q137" i="24"/>
  <c r="Q139" i="24"/>
  <c r="Q140" i="24"/>
  <c r="Q138" i="24"/>
  <c r="Q141" i="24"/>
  <c r="Q143" i="24"/>
  <c r="Q146" i="24"/>
  <c r="Q147" i="24"/>
  <c r="Q148" i="24"/>
  <c r="Q149" i="24"/>
  <c r="Q150" i="24"/>
  <c r="Q151" i="24"/>
  <c r="Q152" i="24"/>
  <c r="Q153" i="24"/>
  <c r="Q160" i="24"/>
  <c r="Q161" i="24"/>
  <c r="Q163" i="24"/>
  <c r="Q165" i="24"/>
  <c r="Q166" i="24"/>
  <c r="Q167" i="24"/>
  <c r="O153" i="24"/>
  <c r="B189" i="24"/>
  <c r="B153" i="24"/>
  <c r="B160" i="24"/>
  <c r="B138" i="24"/>
  <c r="B141" i="24"/>
  <c r="B143" i="24"/>
  <c r="B146" i="24"/>
  <c r="B147" i="24"/>
  <c r="B137" i="24"/>
  <c r="B136" i="24"/>
  <c r="B163" i="24" l="1"/>
  <c r="B161" i="24"/>
  <c r="B162" i="24"/>
  <c r="B126" i="24"/>
  <c r="B125" i="24"/>
  <c r="B181" i="24"/>
  <c r="B183" i="24"/>
  <c r="B18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6" i="24" l="1"/>
  <c r="D217" i="24"/>
  <c r="B218" i="24"/>
  <c r="B217" i="24"/>
  <c r="B216" i="24"/>
  <c r="B188" i="24" l="1"/>
  <c r="B180" i="24"/>
  <c r="B173" i="24"/>
  <c r="H12" i="43"/>
  <c r="I12" i="43" l="1"/>
  <c r="B167" i="24" l="1"/>
  <c r="B165" i="24"/>
  <c r="B166" i="24"/>
  <c r="B149" i="24"/>
  <c r="B152" i="24"/>
  <c r="B148" i="24"/>
  <c r="B151" i="24"/>
  <c r="B150" i="24"/>
  <c r="B139" i="24"/>
  <c r="B140" i="24"/>
  <c r="E250" i="24"/>
  <c r="E251" i="24"/>
  <c r="E252" i="24"/>
  <c r="E253" i="24"/>
  <c r="E254" i="24"/>
  <c r="E255" i="24"/>
  <c r="E256" i="24"/>
  <c r="D250" i="24"/>
  <c r="D251" i="24"/>
  <c r="D252" i="24"/>
  <c r="D253" i="24"/>
  <c r="D254" i="24"/>
  <c r="D255" i="24"/>
  <c r="D256" i="24"/>
  <c r="J33" i="24" a="1"/>
  <c r="J39" i="24" a="1"/>
  <c r="J40" i="24" a="1"/>
  <c r="J43" i="24" a="1"/>
  <c r="J34" i="24" a="1"/>
  <c r="J19" i="24" a="1"/>
  <c r="J35" i="24" a="1"/>
  <c r="J27" i="24" a="1"/>
  <c r="J20" i="24" a="1"/>
  <c r="J36" i="24" a="1"/>
  <c r="H11" i="43"/>
  <c r="J28" i="24" a="1"/>
  <c r="J32" i="24" a="1"/>
  <c r="J31" i="24" a="1"/>
  <c r="J42" i="24" a="1"/>
  <c r="J26" i="24" a="1"/>
  <c r="J30" i="24" a="1"/>
  <c r="J29" i="24" a="1"/>
  <c r="J24" i="24" a="1"/>
  <c r="J23" i="24" a="1"/>
  <c r="J41" i="24" a="1"/>
  <c r="J25" i="24" a="1"/>
  <c r="J37" i="24" a="1"/>
  <c r="J38" i="24" a="1"/>
  <c r="J22" i="24" a="1"/>
  <c r="J33" i="24" l="1"/>
  <c r="J39" i="24"/>
  <c r="J23" i="24"/>
  <c r="J32" i="24"/>
  <c r="J22" i="24"/>
  <c r="J24" i="24"/>
  <c r="J42" i="24"/>
  <c r="J30" i="24"/>
  <c r="J20" i="24"/>
  <c r="J38" i="24"/>
  <c r="J34" i="24"/>
  <c r="J28" i="24"/>
  <c r="J37" i="24"/>
  <c r="J26" i="24"/>
  <c r="J40" i="24"/>
  <c r="J31" i="24"/>
  <c r="J43" i="24"/>
  <c r="J25" i="24"/>
  <c r="J41" i="24"/>
  <c r="J36" i="24"/>
  <c r="J29" i="24"/>
  <c r="J35" i="24"/>
  <c r="J27" i="24"/>
  <c r="J19" i="24"/>
  <c r="I11" i="43"/>
  <c r="B6" i="43"/>
  <c r="J21" i="24" a="1"/>
  <c r="H6" i="43"/>
  <c r="K6" i="43" a="1"/>
  <c r="J21" i="24" l="1"/>
  <c r="I6" i="43"/>
  <c r="K6" i="43"/>
  <c r="L6" i="43" s="1"/>
  <c r="B4" i="43"/>
  <c r="K4" i="43" a="1"/>
  <c r="K4" i="43" l="1"/>
  <c r="L4" i="43" s="1"/>
  <c r="B48" i="24"/>
  <c r="B54" i="24"/>
  <c r="B55" i="24"/>
  <c r="B57" i="24"/>
  <c r="B224" i="24"/>
  <c r="B225" i="24"/>
  <c r="B231" i="24"/>
  <c r="B232" i="24"/>
  <c r="B233" i="24"/>
  <c r="B234" i="24"/>
  <c r="B235" i="24"/>
  <c r="B236" i="24"/>
  <c r="B250" i="24"/>
  <c r="B251" i="24"/>
  <c r="B252" i="24"/>
  <c r="B253" i="24"/>
  <c r="B254" i="24"/>
  <c r="B255" i="24"/>
  <c r="B256" i="24"/>
  <c r="H10" i="43"/>
  <c r="H13" i="43"/>
  <c r="H4" i="43"/>
  <c r="H16" i="43"/>
  <c r="H14" i="43"/>
  <c r="I16" i="43" l="1"/>
  <c r="I13" i="43"/>
  <c r="I14" i="43"/>
  <c r="I10" i="43"/>
  <c r="I4" i="43"/>
  <c r="F232" i="24"/>
  <c r="F231" i="24"/>
  <c r="F234" i="24"/>
  <c r="F233" i="24"/>
  <c r="F236" i="24"/>
  <c r="F23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7"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8"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8"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8"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8"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4"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4"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2"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3"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3"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61"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1"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1"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<sst xmlns="http://schemas.openxmlformats.org/spreadsheetml/2006/main" count="20129" uniqueCount="1318">
  <si>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</si>
  <si>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</si>
  <si>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</si>
  <si>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</si>
  <si>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</si>
  <si>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</si>
  <si>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</si>
  <si>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</si>
  <si>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</si>
  <si>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</si>
  <si>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</si>
  <si>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</si>
  <si>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</si>
  <si>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</si>
  <si>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</si>
  <si>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</si>
  <si>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</si>
  <si>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</si>
  <si>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</si>
  <si>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</si>
  <si>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</si>
  <si>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</si>
  <si>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</si>
  <si>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</si>
  <si>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</si>
  <si>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</si>
  <si>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</si>
  <si>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</si>
  <si>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</si>
  <si>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</si>
  <si>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</si>
  <si>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</si>
  <si>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</si>
  <si>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</si>
  <si>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</si>
  <si>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</si>
  <si>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</si>
  <si>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</si>
  <si>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</si>
  <si>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</si>
  <si>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</si>
  <si>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</si>
  <si>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</si>
  <si>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</si>
  <si>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</si>
  <si>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</si>
  <si>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</si>
  <si>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</si>
  <si>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</si>
  <si>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</si>
  <si>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</si>
  <si>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</si>
  <si>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</si>
  <si>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</si>
  <si>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</si>
  <si>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</si>
  <si>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</si>
  <si>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</si>
  <si>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</si>
  <si>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</si>
  <si>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</si>
  <si>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</si>
  <si>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</si>
  <si>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</si>
  <si>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</si>
  <si>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</si>
  <si>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</si>
  <si>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</si>
  <si>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</si>
  <si>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</si>
  <si>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</si>
  <si>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</si>
  <si>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</si>
  <si>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</si>
  <si>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</si>
  <si>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</si>
  <si>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</si>
  <si>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</si>
  <si>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</si>
  <si>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</si>
  <si>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</si>
  <si>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</si>
  <si>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</si>
  <si>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</si>
  <si>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</si>
  <si>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</si>
  <si>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</si>
  <si>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</si>
  <si>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</si>
  <si>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</si>
  <si>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</si>
  <si>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</si>
  <si>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</si>
  <si>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</si>
  <si>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</si>
  <si>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</si>
  <si>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</si>
  <si>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</si>
  <si>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</si>
  <si>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</si>
  <si>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</si>
  <si>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</si>
  <si>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</si>
  <si>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</si>
  <si>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</si>
  <si>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</si>
  <si>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</si>
  <si>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</si>
  <si>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</si>
  <si>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</si>
  <si>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</si>
  <si>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</si>
  <si>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</si>
  <si>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</si>
  <si>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</si>
  <si>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</si>
  <si>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</si>
  <si>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</si>
  <si>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</si>
  <si>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</si>
  <si>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</si>
  <si>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</si>
  <si>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</si>
  <si>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</si>
  <si>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</si>
  <si>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</si>
  <si>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</si>
  <si>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</si>
  <si>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</si>
  <si>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</si>
  <si>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</si>
  <si>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</si>
  <si>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</si>
  <si>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</si>
  <si>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</si>
  <si>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</si>
  <si>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</si>
  <si>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</si>
  <si>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</si>
  <si>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</si>
  <si>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</si>
  <si>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</si>
  <si>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</si>
  <si>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</si>
  <si>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</si>
  <si>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</si>
  <si>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</si>
  <si>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</si>
  <si>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</si>
  <si>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</si>
  <si>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</si>
  <si>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</si>
  <si>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</si>
  <si>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</si>
  <si>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</si>
  <si>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</si>
  <si>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</si>
  <si>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</si>
  <si>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</si>
  <si>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</si>
  <si>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</si>
  <si>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</si>
  <si>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</si>
  <si>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</si>
  <si>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</si>
  <si>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</si>
  <si>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</si>
  <si>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</si>
  <si>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</si>
  <si>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</si>
  <si>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</si>
  <si>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</si>
  <si>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</si>
  <si>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</si>
  <si>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</si>
  <si>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</si>
  <si>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</si>
  <si>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</si>
  <si>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</si>
  <si>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</si>
  <si>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</si>
  <si>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</si>
  <si>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</si>
  <si>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</si>
  <si>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</si>
  <si>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</si>
  <si>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</si>
  <si>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</si>
  <si>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</si>
  <si>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</si>
  <si>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</si>
  <si>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</si>
  <si>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</si>
  <si>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</si>
  <si>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</si>
  <si>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</si>
  <si>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</si>
  <si>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</si>
  <si>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</si>
  <si>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</si>
  <si>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</si>
  <si>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</si>
  <si>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</si>
  <si>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</si>
  <si>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</si>
  <si>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</si>
  <si>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</si>
  <si>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</si>
  <si>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</si>
  <si>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</si>
  <si>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</si>
  <si>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</si>
  <si>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</si>
  <si>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</si>
  <si>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</si>
  <si>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</si>
  <si>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</si>
  <si>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</si>
  <si>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</si>
  <si>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</si>
  <si>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</si>
  <si>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</si>
  <si>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</si>
  <si>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</si>
  <si>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</si>
  <si>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</si>
  <si>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</si>
  <si>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</si>
  <si>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</si>
  <si>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</si>
  <si>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</si>
  <si>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</si>
  <si>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</si>
  <si>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</si>
  <si>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</si>
  <si>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</si>
  <si>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</si>
  <si>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</si>
  <si>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</si>
  <si>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</si>
  <si>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</si>
  <si>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</si>
  <si>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</si>
  <si>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</si>
  <si>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</si>
  <si>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</si>
  <si>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</si>
  <si>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</si>
  <si>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</si>
  <si>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</si>
  <si>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</si>
  <si>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</si>
  <si>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</si>
  <si>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</si>
  <si>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</si>
  <si>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</si>
  <si>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</si>
  <si>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</si>
  <si>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</si>
  <si>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</si>
  <si>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</si>
  <si>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</si>
  <si>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</si>
  <si>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</si>
  <si>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</si>
  <si>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</si>
  <si>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</si>
  <si>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</si>
  <si>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</si>
  <si>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</si>
  <si>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</si>
  <si>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</si>
  <si>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</si>
  <si>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</si>
  <si>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</si>
  <si>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</si>
  <si>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</si>
  <si>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</si>
  <si>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</si>
  <si>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</si>
  <si>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</si>
  <si>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</si>
  <si>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</si>
  <si>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</si>
  <si>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</si>
  <si>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</si>
  <si>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</si>
  <si>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</si>
  <si>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</si>
  <si>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</si>
  <si>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</si>
  <si>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</si>
  <si>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</si>
  <si>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</si>
  <si>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</si>
  <si>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</si>
  <si>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</si>
  <si>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</si>
  <si>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</si>
  <si>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</si>
  <si>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</si>
  <si>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</si>
  <si>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</si>
  <si>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</si>
  <si>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</si>
  <si>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</si>
  <si>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</si>
  <si>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</si>
  <si>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</si>
  <si>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</si>
  <si>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</si>
  <si>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</si>
  <si>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</si>
  <si>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</si>
  <si>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</si>
  <si>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</si>
  <si>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</si>
  <si>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</si>
  <si>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</si>
  <si>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</si>
  <si>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</si>
  <si>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</si>
  <si>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</si>
  <si>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</si>
  <si>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</si>
  <si>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</si>
  <si>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</si>
  <si>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</si>
  <si>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</si>
  <si>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</si>
  <si>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</si>
  <si>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</si>
  <si>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</si>
  <si>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</si>
  <si>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</si>
  <si>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</si>
  <si>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</si>
  <si>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</si>
  <si>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</si>
  <si>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</si>
  <si>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</si>
  <si>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</si>
  <si>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</si>
  <si>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</si>
  <si>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</si>
  <si>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</si>
  <si>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</si>
  <si>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</si>
  <si>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</si>
  <si>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</si>
  <si>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</si>
  <si>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</si>
  <si>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</si>
  <si>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</si>
  <si>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</si>
  <si>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</si>
  <si>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</si>
  <si>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</si>
  <si>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</si>
  <si>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</si>
  <si>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</si>
  <si>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</si>
  <si>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</si>
  <si>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</si>
  <si>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</si>
  <si>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</si>
  <si>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</si>
  <si>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</si>
  <si>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</si>
  <si>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</si>
  <si>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</si>
  <si>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</si>
  <si>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</si>
  <si>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</si>
  <si>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</si>
  <si>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</si>
  <si>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</si>
  <si>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</si>
  <si>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</si>
  <si>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</si>
  <si>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</si>
  <si>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</si>
  <si>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</si>
  <si>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</si>
  <si>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</si>
  <si>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</si>
  <si>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</si>
  <si>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</si>
  <si>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</si>
  <si>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</si>
  <si>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</si>
  <si>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</si>
  <si>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</si>
  <si>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</si>
  <si>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</si>
  <si>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</si>
  <si>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</si>
  <si>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</si>
  <si>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</si>
  <si>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</si>
  <si>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</si>
  <si>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</si>
  <si>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</si>
  <si>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</si>
  <si>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</si>
  <si>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</si>
  <si>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</si>
  <si>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</si>
  <si>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</si>
  <si>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</si>
  <si>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</si>
  <si>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</si>
  <si>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</si>
  <si>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</si>
  <si>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</si>
  <si>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</si>
  <si>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</si>
  <si>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</si>
  <si>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</si>
  <si>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</si>
  <si>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</si>
  <si>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</si>
  <si>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</si>
  <si>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</si>
  <si>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</si>
  <si>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</si>
  <si>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</si>
  <si>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</si>
  <si>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</si>
  <si>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</si>
  <si>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</si>
  <si>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</si>
  <si>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</si>
  <si>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</si>
  <si>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</si>
  <si>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</si>
  <si>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</si>
  <si>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</si>
  <si>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</si>
  <si>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</si>
  <si>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</si>
  <si>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</si>
  <si>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</si>
  <si>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</si>
  <si>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</si>
  <si>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</si>
  <si>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</si>
  <si>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</si>
  <si>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</si>
  <si>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</si>
  <si>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</si>
  <si>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</si>
  <si>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</si>
  <si>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</si>
  <si>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</si>
  <si>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</si>
  <si>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</si>
  <si>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</si>
  <si>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</si>
  <si>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</si>
  <si>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</si>
  <si>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</si>
  <si>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</si>
  <si>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</si>
  <si>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</si>
  <si>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</si>
  <si>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</si>
  <si>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</si>
  <si>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</si>
  <si>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</si>
  <si>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</si>
  <si>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</si>
  <si>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</si>
  <si>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</si>
  <si>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</si>
  <si>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</si>
  <si>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</si>
  <si>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</si>
  <si>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</si>
  <si>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</si>
  <si>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</si>
  <si>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</si>
  <si>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</si>
  <si>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</si>
  <si>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</si>
  <si>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</si>
  <si>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</si>
  <si>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</si>
  <si>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</si>
  <si>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</si>
  <si>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</si>
  <si>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</si>
  <si>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</si>
  <si>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</si>
  <si>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</si>
  <si>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</si>
  <si>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</si>
  <si>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</si>
  <si>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</si>
  <si>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</si>
  <si>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</si>
  <si>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</si>
  <si>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</si>
  <si>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</si>
  <si>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</si>
  <si>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</si>
  <si>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</si>
  <si>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</si>
  <si>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</si>
  <si>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</si>
  <si>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</si>
  <si>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</si>
  <si>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</si>
  <si>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</si>
  <si>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</si>
  <si>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</si>
  <si>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</si>
  <si>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</si>
  <si>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</si>
  <si>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</si>
  <si>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</si>
  <si>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</si>
  <si>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</si>
  <si>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</si>
  <si>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</si>
  <si>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</si>
  <si>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</si>
  <si>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</si>
  <si>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</si>
  <si>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</si>
  <si>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</si>
  <si>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</si>
  <si>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</si>
  <si>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</si>
  <si>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</si>
  <si>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</si>
  <si>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</si>
  <si>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</si>
  <si>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</si>
  <si>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</si>
  <si>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</si>
  <si>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</si>
  <si>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</si>
  <si>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</si>
  <si>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</si>
  <si>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</si>
  <si>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</si>
  <si>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</si>
  <si>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</si>
  <si>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</si>
  <si>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</si>
  <si>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</si>
  <si>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</si>
  <si>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</si>
  <si>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</si>
  <si>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</si>
  <si>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</si>
  <si>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</si>
  <si>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</si>
  <si>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</si>
  <si>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</si>
  <si>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</si>
  <si>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</si>
  <si>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</si>
  <si>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</si>
  <si>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</si>
  <si>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</si>
  <si>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</si>
  <si>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</si>
  <si>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</si>
  <si>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</si>
  <si>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</si>
  <si>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</si>
  <si>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</si>
  <si>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</si>
  <si>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</si>
  <si>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</si>
  <si>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</si>
  <si>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</si>
  <si>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</si>
  <si>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</si>
  <si>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</si>
  <si>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</si>
  <si>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</si>
  <si>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</si>
  <si>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</si>
  <si>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</si>
  <si>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</si>
  <si>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</si>
  <si>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</si>
  <si>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</si>
  <si>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</si>
  <si>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</si>
  <si>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</si>
  <si>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</si>
  <si>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</si>
  <si>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</si>
  <si>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</si>
  <si>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</si>
  <si>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</si>
  <si>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</si>
  <si>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</si>
  <si>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</si>
  <si>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</si>
  <si>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</si>
  <si>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</si>
  <si>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</si>
  <si>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</si>
  <si>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</si>
  <si>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</si>
  <si>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</si>
  <si>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</si>
  <si>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</si>
  <si>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</si>
  <si>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</si>
  <si>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</si>
  <si>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</si>
  <si>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</si>
  <si>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</si>
  <si>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</si>
  <si>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</si>
  <si>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</si>
  <si>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</si>
  <si>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</si>
  <si>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</si>
  <si>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</si>
  <si>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</si>
  <si>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</si>
  <si>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</si>
  <si>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</si>
  <si>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</si>
  <si>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</si>
  <si>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</si>
  <si>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</si>
  <si>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</si>
  <si>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</si>
  <si>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</si>
  <si>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</si>
  <si>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</si>
  <si>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</si>
  <si>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</si>
  <si>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</si>
  <si>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</si>
  <si>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</si>
  <si>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</si>
  <si>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</si>
  <si>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</si>
  <si>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</si>
  <si>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</si>
  <si>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</si>
  <si>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</si>
  <si>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</si>
  <si>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</si>
  <si>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</si>
  <si>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</si>
  <si>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</si>
  <si>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</si>
  <si>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</si>
  <si>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</si>
  <si>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</si>
  <si>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</si>
  <si>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</si>
  <si>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</si>
  <si>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</si>
  <si>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</si>
  <si>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</si>
  <si>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</si>
  <si>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</si>
  <si>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</si>
  <si>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</si>
  <si>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</si>
  <si>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</si>
  <si>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</si>
  <si>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</si>
  <si>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</si>
  <si>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</si>
  <si>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</si>
  <si>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</si>
  <si>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</si>
  <si>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</si>
  <si>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</si>
  <si>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</si>
  <si>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</si>
  <si>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</si>
  <si>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</si>
  <si>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</si>
  <si>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</si>
  <si>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</si>
  <si>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</si>
  <si>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</si>
  <si>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</si>
  <si>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</si>
  <si>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</si>
  <si>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</si>
  <si>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</si>
  <si>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</si>
  <si>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</si>
  <si>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</si>
  <si>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</si>
  <si>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</si>
  <si>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</si>
  <si>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</si>
  <si>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</si>
  <si>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</si>
  <si>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</si>
  <si>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</si>
  <si>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</si>
  <si>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</si>
  <si>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</si>
  <si>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</si>
  <si>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</si>
  <si>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</si>
  <si>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</si>
  <si>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</si>
  <si>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</si>
  <si>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</si>
  <si>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</si>
  <si>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</si>
  <si>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</si>
  <si>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</si>
  <si>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</si>
  <si>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</si>
  <si>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</si>
  <si>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</si>
  <si>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</si>
  <si>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</si>
  <si>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</si>
  <si>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</si>
  <si>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</si>
  <si>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</si>
  <si>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</si>
  <si>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</si>
  <si>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</si>
  <si>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</si>
  <si>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</si>
  <si>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</si>
  <si>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</si>
  <si>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</si>
  <si>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</si>
  <si>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</si>
  <si>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</si>
  <si>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</si>
  <si>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</si>
  <si>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</si>
  <si>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</si>
  <si>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</si>
  <si>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</si>
  <si>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</si>
  <si>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</si>
  <si>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</si>
  <si>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</si>
  <si>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</si>
  <si>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</si>
  <si>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</si>
  <si>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</si>
  <si>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</si>
  <si>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</si>
  <si>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</si>
  <si>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</si>
  <si>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</si>
  <si>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</si>
  <si>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</si>
  <si>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</si>
  <si>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</si>
  <si>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</si>
  <si>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</si>
  <si>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</si>
  <si>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</si>
  <si>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</si>
  <si>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</si>
  <si>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</si>
  <si>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</si>
  <si>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</si>
  <si>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</si>
  <si>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</si>
  <si>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</si>
  <si>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</si>
  <si>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</si>
  <si>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</si>
  <si>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</si>
  <si>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</si>
  <si>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</si>
  <si>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</si>
  <si>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</si>
  <si>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</si>
  <si>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</si>
  <si>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</si>
  <si>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</si>
  <si>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</si>
  <si>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</si>
  <si>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</si>
  <si>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</si>
  <si>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</si>
  <si>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</si>
  <si>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</si>
  <si>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</si>
  <si>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</si>
  <si>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</si>
  <si>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</si>
  <si>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</si>
  <si>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</si>
  <si>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</si>
  <si>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</si>
  <si>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</si>
  <si>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</si>
  <si>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</si>
  <si>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</si>
  <si>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</si>
  <si>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</si>
  <si>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</si>
  <si>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</si>
  <si>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</si>
  <si>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</si>
  <si>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</si>
  <si>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</si>
  <si>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</si>
  <si>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</si>
  <si>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</si>
  <si>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</si>
  <si>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</si>
  <si>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</si>
  <si>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</si>
  <si>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</si>
  <si>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</si>
  <si>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</si>
  <si>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</si>
  <si>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</si>
  <si>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</si>
  <si>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</si>
  <si>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</si>
  <si>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</si>
  <si>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</si>
  <si>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</si>
  <si>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</si>
  <si>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</si>
  <si>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</si>
  <si>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</si>
  <si>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</si>
  <si>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</si>
  <si>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</si>
  <si>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</si>
  <si>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</si>
  <si>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</si>
  <si>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</si>
  <si>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</si>
  <si>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</si>
  <si>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</si>
  <si>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</si>
  <si>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</si>
  <si>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</si>
  <si>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</si>
  <si>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</si>
  <si>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</si>
  <si>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</si>
  <si>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</si>
  <si>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</si>
  <si>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</si>
  <si>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</si>
  <si>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</si>
  <si>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</si>
  <si>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</si>
  <si>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</si>
  <si>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</si>
  <si>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</si>
  <si>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</si>
  <si>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</si>
  <si>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</si>
  <si>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</si>
  <si>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</si>
  <si>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</si>
  <si>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</si>
  <si>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</si>
  <si>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</si>
  <si>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</si>
  <si>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</si>
  <si>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</si>
  <si>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</si>
  <si>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</si>
  <si>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</si>
  <si>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</si>
  <si>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</si>
  <si>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</si>
  <si>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</si>
  <si>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</si>
  <si>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</si>
  <si>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</si>
  <si>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</si>
  <si>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</si>
  <si>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</si>
  <si>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</si>
  <si>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</si>
  <si>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</si>
  <si>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</si>
  <si>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</si>
  <si>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</si>
  <si>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</si>
  <si>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</si>
  <si>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</si>
  <si>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</si>
  <si>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</si>
  <si>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</si>
  <si>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</si>
  <si>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</si>
  <si>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</si>
  <si>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</si>
  <si>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</si>
  <si>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</si>
  <si>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</si>
  <si>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</si>
  <si>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</si>
  <si>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</si>
  <si>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</si>
  <si>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</si>
  <si>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</si>
  <si>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</si>
  <si>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</si>
  <si>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</si>
  <si>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</si>
  <si>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</si>
  <si>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</si>
  <si>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</si>
  <si>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</si>
  <si>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</si>
  <si>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</si>
  <si>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</si>
  <si>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</si>
  <si>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</si>
  <si>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</si>
  <si>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</si>
  <si>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</si>
  <si>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</si>
  <si>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</si>
  <si>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</si>
  <si>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</si>
  <si>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</si>
  <si>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</si>
  <si>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</si>
  <si>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</si>
  <si>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</si>
  <si>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</si>
  <si>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</si>
  <si>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</si>
  <si>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</si>
  <si>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</si>
  <si>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</si>
  <si>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</si>
  <si>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</si>
  <si>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</si>
  <si>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</si>
  <si>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</si>
  <si>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</si>
  <si>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</si>
  <si>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</si>
  <si>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</si>
  <si>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</si>
  <si>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</si>
  <si>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</si>
  <si>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</si>
  <si>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</si>
  <si>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</si>
  <si>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</si>
  <si>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</si>
  <si>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</si>
  <si>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</si>
  <si>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</si>
  <si>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</si>
  <si>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</si>
  <si>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</si>
  <si>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</si>
  <si>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</si>
  <si>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</si>
  <si>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</si>
  <si>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</si>
  <si>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</si>
  <si>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</si>
  <si>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</si>
  <si>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</si>
  <si>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</si>
  <si>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</si>
  <si>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</si>
  <si>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</si>
  <si>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</si>
  <si>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</si>
  <si>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</si>
  <si>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</si>
  <si>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</si>
  <si>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</si>
  <si>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</si>
  <si>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</si>
  <si>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</si>
  <si>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</si>
  <si>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</si>
  <si>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</si>
  <si>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</si>
  <si>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</si>
  <si>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</si>
  <si>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</si>
  <si>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</si>
  <si>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</si>
  <si>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</si>
  <si>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</si>
  <si>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</si>
  <si>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</si>
  <si>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</si>
  <si>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</si>
  <si>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</si>
  <si>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</si>
  <si>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</si>
  <si>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</si>
  <si>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</si>
  <si>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</si>
  <si>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</si>
  <si>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</si>
  <si>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</si>
  <si>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</si>
  <si>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</si>
  <si>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</si>
  <si>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</si>
  <si>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</si>
  <si>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</si>
  <si>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</si>
  <si>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</si>
  <si>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</si>
  <si>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</si>
  <si>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</si>
  <si>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</si>
  <si>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</si>
  <si>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</si>
  <si>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</si>
  <si>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</si>
  <si>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</si>
  <si>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</si>
  <si>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</si>
  <si>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</si>
  <si>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</si>
  <si>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</si>
  <si>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</si>
  <si>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</si>
  <si>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</si>
  <si>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</si>
  <si>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</si>
  <si>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</si>
  <si>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</si>
  <si>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</si>
  <si>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</si>
  <si>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</si>
  <si>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</si>
  <si>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</si>
  <si>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</si>
  <si>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</si>
  <si>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</si>
  <si>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</si>
  <si>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</si>
  <si>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</si>
  <si>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</si>
  <si>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</si>
  <si>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</si>
  <si>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</si>
  <si>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</si>
  <si>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</si>
  <si>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</si>
  <si>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</si>
  <si>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</si>
  <si>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</si>
  <si>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</si>
  <si>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</si>
  <si>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</si>
  <si>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</si>
  <si>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</si>
  <si>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</si>
  <si>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</si>
  <si>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</si>
  <si>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</si>
  <si>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</si>
  <si>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</si>
  <si>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</si>
  <si>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</si>
  <si>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</si>
  <si>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</si>
  <si>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</si>
  <si>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</si>
  <si>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</si>
  <si>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</si>
  <si>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</si>
  <si>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</si>
  <si>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</si>
  <si>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</si>
  <si>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</si>
  <si>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</si>
  <si>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</si>
  <si>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</si>
  <si>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</si>
  <si>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</si>
  <si>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</si>
  <si>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</si>
  <si>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</si>
  <si>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</si>
  <si>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</si>
  <si>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</si>
  <si>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</si>
  <si>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</si>
  <si>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</si>
  <si>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</si>
  <si>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</si>
  <si>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</si>
  <si>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</si>
  <si>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</si>
  <si>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</si>
  <si>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</si>
  <si>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</si>
  <si>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</si>
  <si>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</si>
  <si>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</si>
  <si>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</si>
  <si>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</si>
  <si>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</si>
  <si>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</si>
  <si>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</si>
  <si>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</si>
  <si>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</si>
  <si>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</si>
  <si>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</si>
  <si>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</si>
  <si>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</si>
  <si>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</si>
  <si>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</si>
  <si>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</si>
  <si>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</si>
  <si>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</si>
  <si>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</si>
  <si>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</si>
  <si>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</si>
  <si>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</si>
  <si>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</si>
  <si>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</si>
  <si>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</si>
  <si>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</si>
  <si>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</si>
  <si>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</si>
  <si>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</si>
  <si>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</si>
  <si>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</si>
  <si>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</si>
  <si>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</si>
  <si>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</si>
  <si>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</si>
  <si>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</si>
  <si>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</si>
  <si>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</si>
  <si>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</si>
  <si>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</si>
  <si>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</si>
  <si>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</si>
  <si>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</si>
  <si>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</si>
  <si>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</si>
  <si>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</si>
  <si>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</si>
  <si>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</si>
  <si>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</si>
  <si>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</si>
  <si>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</si>
  <si>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</si>
  <si>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</si>
  <si>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</si>
  <si>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</si>
  <si>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</si>
  <si>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</si>
  <si>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</si>
  <si>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</si>
  <si>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</si>
  <si>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</si>
  <si>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</si>
  <si>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</si>
  <si>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</si>
  <si>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</si>
  <si>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</si>
  <si>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</si>
  <si>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</si>
  <si>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</si>
  <si>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</si>
  <si>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</si>
  <si>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</si>
  <si>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</si>
  <si>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</si>
  <si>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</si>
  <si>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</si>
  <si>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</si>
  <si>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</si>
  <si>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</si>
  <si>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</si>
  <si>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</si>
  <si>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</si>
  <si>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</si>
  <si>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</si>
  <si>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</si>
  <si>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</si>
  <si>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</si>
  <si>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</si>
  <si>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</si>
  <si>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</si>
  <si>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</si>
  <si>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</si>
  <si>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</si>
  <si>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</si>
  <si>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</si>
  <si>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</si>
  <si>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</si>
  <si>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</si>
  <si>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</si>
  <si>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</si>
  <si>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</si>
  <si>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</si>
  <si>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</si>
  <si>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</si>
  <si>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</si>
  <si>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</si>
  <si>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</si>
  <si>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</si>
  <si>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</si>
  <si>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</si>
  <si>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</si>
  <si>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</si>
  <si>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</si>
  <si>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</si>
  <si>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</si>
  <si>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</si>
  <si>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</si>
  <si>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</si>
  <si>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</si>
  <si>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</si>
  <si>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</si>
  <si>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</si>
  <si>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</si>
  <si>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</si>
  <si>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</si>
  <si>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</si>
  <si>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</si>
  <si>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</si>
  <si>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</si>
  <si>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</si>
  <si>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</si>
  <si>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</si>
  <si>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</si>
  <si>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</si>
  <si>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</si>
  <si>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</si>
  <si>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</si>
  <si>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</si>
  <si>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</si>
  <si>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</si>
  <si>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</si>
  <si>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</si>
  <si>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</si>
  <si>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</si>
  <si>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</si>
  <si>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</si>
  <si>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</si>
  <si>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</si>
  <si>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</si>
  <si>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</si>
  <si>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</si>
  <si>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</si>
  <si>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</si>
  <si>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</si>
  <si>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</si>
  <si>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</si>
  <si>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</si>
  <si>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</si>
  <si>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</si>
  <si>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</si>
  <si>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</si>
  <si>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</si>
  <si>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</si>
  <si>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</si>
  <si>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</si>
  <si>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</si>
  <si>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</si>
  <si>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</si>
  <si>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</si>
  <si>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</si>
  <si>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</si>
  <si>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</si>
  <si>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</si>
  <si>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</si>
  <si>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</si>
  <si>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</si>
  <si>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</si>
  <si>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</si>
  <si>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</si>
  <si>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</si>
  <si>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</si>
  <si>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</si>
  <si>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</si>
  <si>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</si>
  <si>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</si>
  <si>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</si>
  <si>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</si>
  <si>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</si>
  <si>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</si>
  <si>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</si>
  <si>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</si>
  <si>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</si>
  <si>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</si>
  <si>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</si>
  <si>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</si>
  <si>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</si>
  <si>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</si>
  <si>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</si>
  <si>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</si>
  <si>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</si>
  <si>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DirectMedCoast</t>
  </si>
  <si>
    <t xml:space="preserve"> </t>
  </si>
  <si>
    <t>MentalHealth</t>
  </si>
  <si>
    <t>Mental Health</t>
  </si>
  <si>
    <t>Mortality from suicide</t>
  </si>
  <si>
    <t>MH_popDemoAdj</t>
  </si>
  <si>
    <t>MH Demographic Proportion Adjustment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</si>
</sst>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65">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0" fontId="12" fillId="0" borderId="0" xfId="0" applyNumberFormat="1" applyFont="1" applyAlignment="1">
      <alignment horizontal="left" vertical="center"/>
    </xf>
    <xf numFmtId="0" fontId="25" fillId="0" borderId="0" xfId="0" applyNumberFormat="1" applyFont="1" applyAlignment="1">
      <alignment vertical="center"/>
    </xf>
    <xf numFmtId="0" fontId="12" fillId="9" borderId="0" xfId="0" applyNumberFormat="1" applyFont="1" applyFill="1" applyAlignment="1">
      <alignment horizontal="center" vertical="center"/>
    </xf>
    <xf numFmtId="0" fontId="14" fillId="8" borderId="5" xfId="0" applyNumberFormat="1" applyFont="1" applyFill="1" applyBorder="1" applyAlignment="1" applyProtection="1">
      <alignment horizontal="left" vertical="center" wrapText="1"/>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horizontal="center" vertical="center"/>
    </xf>
    <xf numFmtId="0" fontId="12" fillId="0" borderId="0" xfId="0" applyNumberFormat="1" applyFont="1" applyAlignment="1">
      <alignment horizontal="center" vertical="center" wrapText="1"/>
    </xf>
    <xf numFmtId="0" fontId="12" fillId="8" borderId="0" xfId="0" applyNumberFormat="1" applyFont="1" applyFill="1" applyAlignment="1">
      <alignment horizontal="center" vertical="center"/>
    </xf>
    <xf numFmtId="0" fontId="12" fillId="0" borderId="0" xfId="0" applyNumberFormat="1" applyFont="1" applyAlignment="1">
      <alignment horizontal="left" vertical="center" wrapText="1"/>
    </xf>
    <xf numFmtId="0" fontId="12" fillId="7" borderId="0" xfId="0" quotePrefix="1" applyNumberFormat="1" applyFont="1" applyFill="1" applyAlignment="1">
      <alignment horizontal="center" vertical="center" wrapText="1"/>
    </xf>
    <xf numFmtId="0" fontId="22" fillId="9" borderId="0" xfId="0" applyNumberFormat="1" applyFont="1" applyFill="1" applyAlignment="1">
      <alignment horizontal="center" vertical="center" wrapText="1"/>
    </xf>
    <xf numFmtId="0" fontId="22" fillId="9" borderId="0" xfId="0" applyNumberFormat="1" applyFont="1" applyFill="1" applyAlignment="1">
      <alignment vertical="center" wrapText="1"/>
    </xf>
    <xf numFmtId="0" fontId="17" fillId="0" borderId="0" xfId="0" applyNumberFormat="1" applyFont="1" applyFill="1" applyAlignment="1">
      <alignment horizontal="left" vertical="top"/>
    </xf>
    <xf numFmtId="0" fontId="19" fillId="0" borderId="0" xfId="0" applyNumberFormat="1" applyFont="1" applyFill="1" applyAlignment="1">
      <alignment horizontal="left" vertical="top"/>
    </xf>
    <xf numFmtId="0" fontId="23" fillId="0" borderId="0" xfId="0" applyNumberFormat="1" applyFont="1" applyFill="1" applyAlignment="1">
      <alignment horizontal="left"/>
    </xf>
    <xf numFmtId="0" fontId="0" fillId="0" borderId="0" xfId="0" applyNumberFormat="1" applyFill="1" applyAlignment="1">
      <alignment horizontal="left"/>
    </xf>
    <xf numFmtId="0" fontId="18" fillId="9" borderId="0" xfId="0" applyNumberFormat="1" applyFont="1" applyFill="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4" xfId="0" applyNumberFormat="1" applyFill="1" applyBorder="1"/>
    <xf numFmtId="0" fontId="0" fillId="0" borderId="0" xfId="0" applyNumberFormat="1" applyFill="1" applyBorder="1" applyAlignment="1">
      <alignment horizontal="left"/>
    </xf>
    <xf numFmtId="0" fontId="18" fillId="9" borderId="0" xfId="0" applyNumberFormat="1" applyFont="1" applyFill="1" applyBorder="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0" fontId="0" fillId="9" borderId="0" xfId="0" applyFill="1" applyBorder="1"/>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6">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5"/>
    </tableStyle>
    <tableStyle name="Table Style 2" pivot="0" count="2" xr9:uid="{5906E8DD-1157-4888-9A27-3B2DB57DF7A2}">
      <tableStyleElement type="wholeTable" dxfId="294"/>
      <tableStyleElement type="headerRow" dxfId="29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2">
  <autoFilter ref="B9:C34" xr:uid="{DBDF25E7-D35C-4344-9B72-491345FCBF34}"/>
  <tableColumns count="2">
    <tableColumn id="1" xr3:uid="{306AD3FA-EE0B-4D9C-828A-C0B76198AE0B}" name="Worksheet" dataDxfId="291"/>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90" dataDxfId="289">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8">
      <calculatedColumnFormula xml:space="preserve"> ROW( doc_tablesList[[#This Row],[ID]] ) - ROW(doc_tablesList[[#Headers],[ID]] )</calculatedColumnFormula>
    </tableColumn>
    <tableColumn id="2" xr3:uid="{238E4D6F-DBDF-41A4-8350-E77587A7D4B3}" name="Table Name" dataDxfId="287"/>
    <tableColumn id="8" xr3:uid="{D46F7497-B3FD-485E-91E8-C8117D6673FA}" name="Import" dataDxfId="286"/>
    <tableColumn id="3" xr3:uid="{39F2BFBD-30E6-473D-B9E5-9F407D5928C3}" name="Worksheet" dataDxfId="285"/>
    <tableColumn id="9" xr3:uid="{507E67A6-0C2B-4342-A04B-6A8E615993E3}" name="ID_columnName" dataDxfId="284">
      <calculatedColumnFormula xml:space="preserve"> "row_id"</calculatedColumnFormula>
    </tableColumn>
    <tableColumn id="4" xr3:uid="{961C935C-163D-4860-BA16-6CB492916203}" name="Header Row" dataDxfId="28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2">
      <calculatedColumnFormula xml:space="preserve"> MAX( INDIRECT( _xlfn.TEXTJOIN( "", , doc_tablesList[[#This Row],[Table Name]], "[", doc_tablesList[[#This Row],[ID_columnName]], "]" ) ) )</calculatedColumnFormula>
    </tableColumn>
    <tableColumn id="13" xr3:uid="{F53E64F1-7445-4927-A376-2FB765265648}" name="Last Row" dataDxfId="281">
      <calculatedColumnFormula xml:space="preserve"> doc_tablesList[[#This Row],[Number of Data Rows]] + doc_tablesList[[#This Row],[Header Row]]</calculatedColumnFormula>
    </tableColumn>
    <tableColumn id="6" xr3:uid="{86A51CF5-A3BA-4019-9C90-7A94C7FBA534}" name="id_colIndex" dataDxfId="280">
      <calculatedColumnFormula array="1" xml:space="preserve"> INDEX( COLUMN( INDIRECT( doc_tablesList[[#This Row],[Table Name]] &amp; "[" &amp; doc_tablesList[[#This Row],[ID_columnName]] &amp; "]" ) ), 1 )</calculatedColumnFormula>
    </tableColumn>
    <tableColumn id="7" xr3:uid="{DD29767F-0B22-4C97-9012-467EF6380323}" name="last_colIndex" dataDxfId="279">
      <calculatedColumnFormula array="1" xml:space="preserve"> MAX( COLUMN( INDIRECT( doc_tablesList[[#This Row],[Table Name]] ) ) )</calculatedColumnFormula>
    </tableColumn>
    <tableColumn id="12" xr3:uid="{7F09C7E5-85E6-4334-8C65-926F0EE13A13}" name="num_tableCols" dataDxfId="278">
      <calculatedColumnFormula xml:space="preserve"> doc_tablesList[[#This Row],[last_colIndex]] - doc_tablesList[[#This Row],[id_colIndex]] + 1</calculatedColumnFormula>
    </tableColumn>
    <tableColumn id="11" xr3:uid="{C4016964-772D-4CB1-A4CA-7E815387BA94}" name="excludeCol_ids" dataDxfId="277"/>
    <tableColumn id="10" xr3:uid="{1AD286DF-FF1E-4EA7-92C2-04966DE58B94}" name="Notes" dataDxfId="276"/>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5" dataDxfId="274">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3">
      <calculatedColumnFormula xml:space="preserve"> ROW( testDev[[#This Row],[row_id]] ) - ROW(testDev[[#Headers],[row_id]] )</calculatedColumnFormula>
    </tableColumn>
    <tableColumn id="2" xr3:uid="{724C3667-B22B-4E0E-A26D-84EB27DA32DC}" name="Table Name" dataDxfId="272"/>
    <tableColumn id="8" xr3:uid="{2DE33227-E2C9-4F8F-BDC2-7C7EB619B32B}" name="Changes if new sector added" dataDxfId="271"/>
    <tableColumn id="3" xr3:uid="{91AE5770-239D-41B2-B469-E73127600B2A}" name="New sector changes" dataDxfId="270"/>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3" totalsRowShown="0" headerRowDxfId="269" dataDxfId="267" headerRowBorderDxfId="268" tableBorderDxfId="266" totalsRowBorderDxfId="265">
  <sortState xmlns:xlrd2="http://schemas.microsoft.com/office/spreadsheetml/2017/richdata2" ref="B19:P43">
    <sortCondition ref="D19:D43"/>
  </sortState>
  <tableColumns count="15">
    <tableColumn id="14" xr3:uid="{60C3EA8F-72E0-495B-8B73-6D682443C60B}" name="row_id" dataDxfId="264" totalsRowDxfId="263">
      <calculatedColumnFormula xml:space="preserve"> ROW( co_sectors[[#This Row],[row_id]] ) - ROW( co_sectors[[#Headers],[row_id]] )</calculatedColumnFormula>
    </tableColumn>
    <tableColumn id="1" xr3:uid="{05E901B8-39C9-4448-8C69-F1824616C5B3}" name="sector_id" dataDxfId="262" totalsRowDxfId="261"/>
    <tableColumn id="2" xr3:uid="{8435BE36-75E6-4124-BCAF-A700C82839D8}" name="sector_label" dataDxfId="260" totalsRowDxfId="259"/>
    <tableColumn id="6" xr3:uid="{2BB914B0-56FF-4336-B8AD-DDDF5E8FE532}" name="include" dataDxfId="258" totalsRowDxfId="257"/>
    <tableColumn id="8" xr3:uid="{18B4827C-060D-4556-903A-BB8A82781CB7}" name="modelType" dataDxfId="256" totalsRowDxfId="255"/>
    <tableColumn id="9" xr3:uid="{031B452A-F7AD-42C2-B528-CC3050A26AA0}" name="interpolateEstimateYears" dataDxfId="254" totalsRowDxfId="253">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2" totalsRowDxfId="251">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50" totalsRowDxfId="249">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8" totalsRowDxfId="247">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6" totalsRowDxfId="245">
      <calculatedColumnFormula array="1" xml:space="preserve"> SUMPRODUCT( --( co_sectors[[#This Row],[sector_id]] = co_variants[sector_id] ) )</calculatedColumnFormula>
    </tableColumn>
    <tableColumn id="11" xr3:uid="{5F0E2743-320C-46C8-BF83-E0748C4ED15D}" name="Number of impact types" dataDxfId="244" totalsRowDxfId="243">
      <calculatedColumnFormula array="1" xml:space="preserve"> SUMPRODUCT( --( co_sectors[[#This Row],[sector_id]] = co_impactTypes[sector_id] ) )</calculatedColumnFormula>
    </tableColumn>
    <tableColumn id="13" xr3:uid="{39CDE92C-BE84-47A0-A80A-EB0EC7367742}" name="Number of impact years" dataDxfId="242" totalsRowDxfId="241">
      <calculatedColumnFormula array="1" xml:space="preserve"> IF( INDEX( co_impactYears[N/A], MATCH( 1, --( co_sectors[[#This Row],[sector_id]] = co_impactYears[sector_id] ), 0 ) ) = "N/A", 1, 2 )</calculatedColumnFormula>
    </tableColumn>
    <tableColumn id="16" xr3:uid="{E3198681-898F-4937-B8ED-BD8ED473A1BE}" name="Number of models" dataDxfId="240" totalsRowDxfId="239">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8" totalsRowDxfId="237">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6" totalsRowDxfId="235">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3:N225" totalsRowShown="0" headerRowDxfId="234" dataDxfId="233">
  <tableColumns count="13">
    <tableColumn id="1" xr3:uid="{11DFD282-93A9-4795-9369-6627D14BB282}" name="row_id" dataDxfId="232">
      <calculatedColumnFormula xml:space="preserve"> ROW( co_modelTypes[[#This Row],[row_id]] ) - ROW( co_modelTypes[[#Headers],[row_id]] )</calculatedColumnFormula>
    </tableColumn>
    <tableColumn id="5" xr3:uid="{083A43A4-471A-4911-84CB-93A1DE17EDC1}" name="modelType_id" dataDxfId="231"/>
    <tableColumn id="6" xr3:uid="{5A95B322-31B8-49BE-B215-52BB75258F9F}" name="modelType_label" dataDxfId="230"/>
    <tableColumn id="2" xr3:uid="{7172DDAD-67EF-469B-A2DF-E5E2773966BC}" name="modelUnit_id" dataDxfId="229"/>
    <tableColumn id="8" xr3:uid="{0E585296-9334-4F27-8B15-1B944CD33E6C}" name="modelUnit_label" dataDxfId="228"/>
    <tableColumn id="3" xr3:uid="{540088D4-3239-4E2E-B19D-9DEA7196BB93}" name="modelUnitType" dataDxfId="227"/>
    <tableColumn id="7" xr3:uid="{EDB25577-4E2B-4262-9DF5-F68DC828D4E8}" name="modelUnitDesc" dataDxfId="226"/>
    <tableColumn id="4" xr3:uid="{72573958-4C31-41E8-A620-C05E0EAD6C20}" name="modelRefYear" dataDxfId="225"/>
    <tableColumn id="14" xr3:uid="{24E03EC5-2F20-4779-B9C9-9AA4430B9341}" name="modelMaxOutput" dataDxfId="224"/>
    <tableColumn id="9" xr3:uid="{537B6620-4A1F-465E-B24B-88B4E9CB99EF}" name="modelMaxExtrap" dataDxfId="223"/>
    <tableColumn id="10" xr3:uid="{5F1496AF-7FEE-4618-AAE6-2E8C8F5433BE}" name="modelUnitScale" dataDxfId="222"/>
    <tableColumn id="13" xr3:uid="{2D80CF7B-1072-423B-9E13-7F9B3844DD63}" name="Number of levels" dataDxfId="221"/>
    <tableColumn id="12" xr3:uid="{D1A4CB2D-7AE0-4E8A-AC5A-FA532FF3EFB2}" name="Number of models" dataDxfId="220">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49:E256" totalsRowShown="0" headerRowDxfId="219" dataDxfId="218">
  <tableColumns count="4">
    <tableColumn id="1" xr3:uid="{18599272-3810-42BA-A220-485AFB1D6807}" name="row_id" dataDxfId="217">
      <calculatedColumnFormula xml:space="preserve"> ROW( co_regions[[#This Row],[row_id]] ) - ROW( co_regions[[#Headers],[row_id]] )</calculatedColumnFormula>
    </tableColumn>
    <tableColumn id="3" xr3:uid="{56B07D04-3458-4687-B04E-181849066DB3}" name="region_label" dataDxfId="216"/>
    <tableColumn id="4" xr3:uid="{C002439A-2823-4374-8AD2-D03BE0946361}" name="region_dot" dataDxfId="215">
      <calculatedColumnFormula xml:space="preserve"> SUBSTITUTE( co_regions[[#This Row],[region_label]], " ", "." )</calculatedColumnFormula>
    </tableColumn>
    <tableColumn id="5" xr3:uid="{FFA64F27-24E0-4D92-8E8A-6A4675CEB856}" name="region_underscore" dataDxfId="214">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0:G244" totalsRowShown="0" headerRowDxfId="213" dataDxfId="212">
  <tableColumns count="6">
    <tableColumn id="1" xr3:uid="{BF1485BD-F9FE-4F5B-9D9F-D9CB3D918F44}" name="row_id" dataDxfId="211">
      <calculatedColumnFormula xml:space="preserve"> ROW( co_models[[#This Row],[row_id]] ) - ROW( co_models[[#Headers],[row_id]] )</calculatedColumnFormula>
    </tableColumn>
    <tableColumn id="2" xr3:uid="{A209304D-718C-45BB-922A-A83B3EC89858}" name="model_id" dataDxfId="210"/>
    <tableColumn id="20" xr3:uid="{A1F83970-3B0E-4464-8376-1B37DBE20974}" name="modelType" dataDxfId="209"/>
    <tableColumn id="4" xr3:uid="{07FC9EA5-74D5-4155-BD5E-E00DD3D52BAE}" name="model_dot" dataDxfId="208">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7">
      <calculatedColumnFormula xml:space="preserve"> SUBSTITUTE( co_models[[#This Row],[model_dot]], ".", "_" )</calculatedColumnFormula>
    </tableColumn>
    <tableColumn id="3" xr3:uid="{F9DE0808-4FD0-4FB6-9363-B580ED760D5C}" name="model_label" dataDxfId="206">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7:F72" totalsRowShown="0" headerRowDxfId="205" dataDxfId="204">
  <autoFilter ref="B47:F72" xr:uid="{965CD6B2-887D-46C8-9D98-6C6AECBC7B1A}"/>
  <sortState xmlns:xlrd2="http://schemas.microsoft.com/office/spreadsheetml/2017/richdata2" ref="B48:F72">
    <sortCondition ref="C48:C72"/>
  </sortState>
  <tableColumns count="5">
    <tableColumn id="1" xr3:uid="{CDF8B6C0-3166-4A5F-954A-6DD921A48F0D}" name="row_id" dataDxfId="203" totalsRowDxfId="202">
      <calculatedColumnFormula xml:space="preserve"> ROW( co_impactYears[[#This Row],[row_id]] ) - ROW(co_impactYears[[#Headers],[row_id]] )</calculatedColumnFormula>
    </tableColumn>
    <tableColumn id="2" xr3:uid="{CE04D22F-F326-49F0-9B89-F7BBAC07F272}" name="sector_id" dataDxfId="201" totalsRowDxfId="200"/>
    <tableColumn id="4" xr3:uid="{D085A6D5-2B6A-46B4-9638-D837648BB08B}" name="N/A" dataDxfId="199" totalsRowDxfId="198">
      <calculatedColumnFormula array="1" xml:space="preserve"> IF( SUMPRODUCT( --( VALUE( controlTables!E$47 ) = data_scaledImpacts[impactYear] ), --( co_impactYears[[#This Row],[sector_id]] = data_scaledImpacts[sector] ) ) &gt; 0, "", controlTables!D$47  )</calculatedColumnFormula>
    </tableColumn>
    <tableColumn id="5" xr3:uid="{EB302892-BCFD-4CA5-B470-8D81C8E73DDE}" name="2010" dataDxfId="197" totalsRowDxfId="196">
      <calculatedColumnFormula array="1" xml:space="preserve"> IF( SUMPRODUCT( --( VALUE( controlTables!E$47 ) = data_scaledImpacts[impactYear] ), --( co_impactYears[[#This Row],[sector_id]] = data_scaledImpacts[sector] ) ) &gt; 0, VALUE( controlTables!E$47 ), "" )</calculatedColumnFormula>
    </tableColumn>
    <tableColumn id="6" xr3:uid="{FADA0A2C-2C06-4E27-9064-B329CB26787D}" name="2090" dataDxfId="195" totalsRowDxfId="194">
      <calculatedColumnFormula array="1" xml:space="preserve"> IF( SUMPRODUCT( --( VALUE( controlTables!F$47 ) = data_scaledImpacts[impactYear] ), --( co_impactYears[[#This Row],[sector_id]] = data_scaledImpacts[sector] ) ) &gt; 0, VALUE( controlTables!F$47 ),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4:U167" totalsRowShown="0" headerRowDxfId="193" dataDxfId="192">
  <autoFilter ref="B124:U167" xr:uid="{E446364F-959A-4BFF-80B5-CD65050C4865}"/>
  <sortState xmlns:xlrd2="http://schemas.microsoft.com/office/spreadsheetml/2017/richdata2" ref="B125:U167">
    <sortCondition ref="C125:C167"/>
    <sortCondition ref="D125:D167"/>
  </sortState>
  <tableColumns count="20">
    <tableColumn id="1" xr3:uid="{3C0C87EC-3301-4189-A438-330FBC0C23CE}" name="row_id" dataDxfId="191">
      <calculatedColumnFormula xml:space="preserve"> ROW( co_impactTypes[[#This Row],[row_id]] ) - ROW(co_impactTypes[[#Headers],[row_id]] )</calculatedColumnFormula>
    </tableColumn>
    <tableColumn id="5" xr3:uid="{695E7B0A-9CCF-4B48-8FB4-7B2C8AC23CA2}" name="sector_id" dataDxfId="190"/>
    <tableColumn id="3" xr3:uid="{AC7D2590-5F6F-4E8A-8395-3ACC925DD65E}" name="impactType_label" dataDxfId="189"/>
    <tableColumn id="2" xr3:uid="{389F4E81-E357-4437-B986-87606739FD52}" name="impactType_id" dataDxfId="188"/>
    <tableColumn id="8" xr3:uid="{535B73E2-6287-4418-B8AA-E50E0120DCC2}" name="impactType_id_excel" dataDxfId="187"/>
    <tableColumn id="7" xr3:uid="{252ECC08-A081-4155-A2E4-6E6953775245}" name="impactType_description" dataDxfId="186"/>
    <tableColumn id="18" xr3:uid="{20E67458-91EF-4192-9F05-0BEE3F89945B}" name="physicalmeasure" dataDxfId="185"/>
    <tableColumn id="6" xr3:uid="{3CFD45D4-B79B-4F80-92FC-337937E46944}" name="physScalarName" dataDxfId="184"/>
    <tableColumn id="9" xr3:uid="{40E9B945-11EE-47C9-B5D8-A41A8FC63734}" name="physAdjName" dataDxfId="183"/>
    <tableColumn id="16" xr3:uid="{5C5AE37A-2086-491F-BF3C-F22CC928E516}" name="damageAdjName" dataDxfId="182"/>
    <tableColumn id="10" xr3:uid="{2A5B466E-A990-49E9-92E3-0103059D4863}" name="econScalarName" dataDxfId="181"/>
    <tableColumn id="11" xr3:uid="{74F77DB7-A970-4C19-A8F9-04E79FC664FD}" name="econMultiplierName" dataDxfId="180"/>
    <tableColumn id="12" xr3:uid="{DA200B1A-95FB-4000-933E-BC048A1E0631}" name="c0" dataDxfId="179"/>
    <tableColumn id="13" xr3:uid="{F6CED4C7-F96B-4766-BD90-7B52A49FAABA}" name="c1" dataDxfId="178"/>
    <tableColumn id="14" xr3:uid="{E36983CA-3DF1-4DD8-A727-E60C1D905346}" name="exp0" dataDxfId="177"/>
    <tableColumn id="15" xr3:uid="{861014FE-4437-4D17-8CED-BC8B72417DD9}" name="year0" dataDxfId="176">
      <calculatedColumnFormula xml:space="preserve"> IF(co_impactTypes[[#This Row],[econMultiplierName]]="None", "N/A", 2010)</calculatedColumnFormula>
    </tableColumn>
    <tableColumn id="4" xr3:uid="{B36EDE81-6CA0-42FB-A8A9-9A4FA4A5EFCA}" name="check_data" dataDxfId="175">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4">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3">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2">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2:K202" totalsRowShown="0" headerRowDxfId="171" dataDxfId="170">
  <sortState xmlns:xlrd2="http://schemas.microsoft.com/office/spreadsheetml/2017/richdata2" ref="B173:K201">
    <sortCondition ref="E173:E201"/>
    <sortCondition ref="C173:C201"/>
  </sortState>
  <tableColumns count="10">
    <tableColumn id="1" xr3:uid="{B5AB138C-E49F-456B-8F7B-6A701BD94314}" name="row_id" dataDxfId="169">
      <calculatedColumnFormula xml:space="preserve"> ROW( co_scalarInfo[[#This Row],[row_id]] ) - ROW( co_scalarInfo[[#Headers],[row_id]] )</calculatedColumnFormula>
    </tableColumn>
    <tableColumn id="4" xr3:uid="{057C556C-4A5B-41BF-9EA5-CD5D06EC20A3}" name="scalarName" dataDxfId="168"/>
    <tableColumn id="2" xr3:uid="{11586BC8-9866-411F-AFB1-B54CDBE58BC8}" name="scalarLabel" dataDxfId="167"/>
    <tableColumn id="3" xr3:uid="{59273865-10D7-4E58-A34B-98B12FD27367}" name="scalarType" dataDxfId="166"/>
    <tableColumn id="6" xr3:uid="{44722630-DE32-4127-9D36-E5716D7B6FB1}" name="constant_or_dynamic" dataDxfId="165"/>
    <tableColumn id="7" xr3:uid="{06B55EB3-A830-4A09-BCEF-732F610DB775}" name="national_or_regional" dataDxfId="164"/>
    <tableColumn id="12" xr3:uid="{DA5FA732-C673-49CC-B393-EEDF239C5944}" name="valueYear" dataDxfId="163"/>
    <tableColumn id="9" xr3:uid="{072DFA28-3A99-48D9-9F87-0B9663CC8EBE}" name="dataType" dataDxfId="162"/>
    <tableColumn id="8" xr3:uid="{083C27B7-8723-4638-8D25-C880E916AEB0}" name="notes" dataDxfId="161"/>
    <tableColumn id="10" xr3:uid="{59B283EF-319C-46BD-B32A-C633A7A331B3}" name="scalar_rows" dataDxfId="160">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5:D218" totalsRowShown="0" headerRowDxfId="159" dataDxfId="158">
  <tableColumns count="3">
    <tableColumn id="1" xr3:uid="{D7815580-A46D-4035-AF95-6DFB7EDC1C86}" name="row_id" dataDxfId="157">
      <calculatedColumnFormula xml:space="preserve"> ROW( co_constants[[#This Row],[row_id]] ) - ROW( co_constants[[#Headers],[row_id]] )</calculatedColumnFormula>
    </tableColumn>
    <tableColumn id="4" xr3:uid="{7CEFD3F0-E79C-4BEE-B910-4D600E302386}" name="constant" dataDxfId="156"/>
    <tableColumn id="3" xr3:uid="{DB7DDBBB-C95A-4211-819C-B05A5C2E7319}" name="value" dataDxfId="155"/>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8:K120" totalsRowShown="0" headerRowDxfId="154" dataDxfId="153">
  <autoFilter ref="B78:K120" xr:uid="{2B645CB4-F641-4C38-A983-F38F00FA7B52}"/>
  <sortState xmlns:xlrd2="http://schemas.microsoft.com/office/spreadsheetml/2017/richdata2" ref="B79:K120">
    <sortCondition ref="C79:C120"/>
  </sortState>
  <tableColumns count="10">
    <tableColumn id="1" xr3:uid="{1BCFA006-CF85-4F3A-AC79-60916A48ED39}" name="row_id" dataDxfId="152" totalsRowDxfId="151">
      <calculatedColumnFormula xml:space="preserve"> ROW( co_variants[[#This Row],[row_id]] ) - ROW( co_variants[[#Headers],[row_id]] )</calculatedColumnFormula>
    </tableColumn>
    <tableColumn id="18" xr3:uid="{11CBE921-72AF-48C1-82DE-27D30284B810}" name="sector_id" dataDxfId="150" totalsRowDxfId="149"/>
    <tableColumn id="3" xr3:uid="{1A31D87B-CDD5-4D8C-A4C9-8892B2B2C1E8}" name="variant_label" dataDxfId="148" totalsRowDxfId="147"/>
    <tableColumn id="4" xr3:uid="{BD980D22-60C8-4EA5-878C-1F6646D73814}" name="variant_id" dataDxfId="146" totalsRowDxfId="145"/>
    <tableColumn id="2" xr3:uid="{AFC0EA26-897A-4565-AC43-EDE7CD2C7E8A}" name="variant_id_excel" dataDxfId="144" totalsRowDxfId="143"/>
    <tableColumn id="7" xr3:uid="{77C8D2EF-4466-45BD-90C6-9DB11F371760}" name="sectorprimary" dataDxfId="142" totalsRowDxfId="141"/>
    <tableColumn id="6" xr3:uid="{677E6396-DB82-43C2-B1C8-9CF8A385BC06}" name="includeaggregate" dataDxfId="140" totalsRowDxfId="139"/>
    <tableColumn id="19" xr3:uid="{C16D6C81-A98D-4F3D-B812-6AFD7158219C}" name="damageAdjName" dataDxfId="138" totalsRowDxfId="137">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6" totalsRowDxfId="135">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4">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7:E210" totalsRowShown="0" headerRowDxfId="133" dataDxfId="132">
  <tableColumns count="4">
    <tableColumn id="1" xr3:uid="{B5687CDE-96CA-4DF3-A45A-B2EDE1CC9A93}" name="row_id" dataDxfId="131">
      <calculatedColumnFormula xml:space="preserve"> ROW( co_econMultipliers[[#This Row],[row_id]] ) - ROW( co_econMultipliers[[#Headers],[row_id]] )</calculatedColumnFormula>
    </tableColumn>
    <tableColumn id="4" xr3:uid="{76AF9F40-EEBA-4ABF-82CC-7580151C94E2}" name="econMultiplierName" dataDxfId="130"/>
    <tableColumn id="3" xr3:uid="{BB4C0E23-5864-41DA-8215-7C526A80B49B}" name="econMultiplierDescription" dataDxfId="129"/>
    <tableColumn id="2" xr3:uid="{013806BA-C4E3-46FD-AD7B-D198CFA696CD}" name="valueYear" dataDxfId="128"/>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1:L265" totalsRowShown="0" headerRowDxfId="127" dataDxfId="126">
  <tableColumns count="11">
    <tableColumn id="1" xr3:uid="{66AD6D28-7A41-4AD2-93FD-110433F1C5A5}" name="row_id" dataDxfId="125">
      <calculatedColumnFormula xml:space="preserve"> ROW( co_inputScenarioInfo[[#This Row],[row_id]] ) - ROW( co_inputScenarioInfo[[#Headers],[row_id]] )</calculatedColumnFormula>
    </tableColumn>
    <tableColumn id="4" xr3:uid="{45198473-3D48-41CD-B663-D0AF13813C66}" name="inputName" dataDxfId="124"/>
    <tableColumn id="3" xr3:uid="{E3847F4D-6384-49D5-8156-9EC8E8221B62}" name="inputType" dataDxfId="123"/>
    <tableColumn id="5" xr3:uid="{98CB64F8-23F0-4402-9CE1-03695A07036B}" name="inputDesc" dataDxfId="122"/>
    <tableColumn id="11" xr3:uid="{6767F0F8-BE35-4ED7-8CC4-4EC46910597F}" name="importArgName" dataDxfId="121">
      <calculatedColumnFormula xml:space="preserve"> co_inputScenarioInfo[[#This Row],[inputName]] &amp; "file"</calculatedColumnFormula>
    </tableColumn>
    <tableColumn id="10" xr3:uid="{1DA97935-2C19-401C-B17D-EF908498B36F}" name="tempBinListName" dataDxfId="120">
      <calculatedColumnFormula xml:space="preserve"> co_inputScenarioInfo[[#This Row],[inputName]] &amp; "Input"</calculatedColumnFormula>
    </tableColumn>
    <tableColumn id="2" xr3:uid="{F9249B62-F8E8-46B3-88F1-E8E0903FDD4A}" name="inputUnit" dataDxfId="119"/>
    <tableColumn id="6" xr3:uid="{48BBD66A-C5AD-477C-84C9-E5FFE0D43B87}" name="inputMin" dataDxfId="118"/>
    <tableColumn id="7" xr3:uid="{05D78FF1-5FB5-4CB5-AB55-8F3089B354DC}" name="inputMax" dataDxfId="117">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6"/>
    <tableColumn id="9" xr3:uid="{AAA49909-67E1-4978-90ED-573C388A520B}" name="region" dataDxfId="115"/>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4" dataDxfId="113" dataCellStyle="Comma">
  <tableColumns count="10">
    <tableColumn id="12" xr3:uid="{0A89CE4B-8BE5-43BC-A51C-BD6CBE39EF8F}" name="row_id" dataDxfId="112" dataCellStyle="Comma">
      <calculatedColumnFormula xml:space="preserve"> ROW( co_defaultScenario[[#This Row],[row_id]] ) - ROW( co_defaultScenario[[#Headers],[row_id]] )</calculatedColumnFormula>
    </tableColumn>
    <tableColumn id="1" xr3:uid="{7A7DBB26-4C96-4158-9520-0B868F638DE3}" name="year" dataDxfId="111"/>
    <tableColumn id="3" xr3:uid="{5D94A0B8-5B52-499B-B23D-0A2D5730D551}" name="gdp_usd" dataDxfId="110" dataCellStyle="Comma"/>
    <tableColumn id="5" xr3:uid="{659D6246-4041-4DBC-AAED-B31108854E59}" name="pop_Midwest" dataDxfId="109" dataCellStyle="Comma"/>
    <tableColumn id="6" xr3:uid="{BF3527D1-840B-4CB0-8FA1-F7702C9908AE}" name="pop_Northeast" dataDxfId="108" dataCellStyle="Comma"/>
    <tableColumn id="7" xr3:uid="{35DB272A-66EC-46CE-93A9-20F94779BAF3}" name="pop_Northern.Plains" dataDxfId="107" dataCellStyle="Comma"/>
    <tableColumn id="8" xr3:uid="{55BC306A-A00D-4EE4-9211-F6147BF5E330}" name="pop_Northwest" dataDxfId="106" dataCellStyle="Comma"/>
    <tableColumn id="9" xr3:uid="{EA9DDCB9-3C37-4492-BE49-198660067F46}" name="pop_Southeast" dataDxfId="105" dataCellStyle="Comma"/>
    <tableColumn id="10" xr3:uid="{502BAA2C-0C26-48E2-9897-F916C0768CFF}" name="pop_Southern.Plains" dataDxfId="104" dataCellStyle="Comma"/>
    <tableColumn id="11" xr3:uid="{6C7C02DD-C215-4B9C-8FA9-4B3C99468E87}" name="pop_Southwest" dataDxfId="103"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2" dataDxfId="101">
  <autoFilter ref="B22:D113" xr:uid="{C0179B68-B689-4953-B236-407D919FF6CA}"/>
  <tableColumns count="3">
    <tableColumn id="1" xr3:uid="{229C0172-6118-4531-8FC2-3A035D17EE27}" name="row_id" dataDxfId="100">
      <calculatedColumnFormula xml:space="preserve"> ROW( co_defaultTemps[[#This Row],[row_id]] ) - ROW( co_defaultTemps[[#Headers],[row_id]] )</calculatedColumnFormula>
    </tableColumn>
    <tableColumn id="2" xr3:uid="{FE9368F1-AE5E-44BC-8FFF-69FF82E02318}" name="year" dataDxfId="99"/>
    <tableColumn id="3" xr3:uid="{45630D5D-C977-4FC5-9F88-824121D0F964}" name="temp_C_global" dataDxfId="98"/>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7">
      <calculatedColumnFormula xml:space="preserve"> ROW( Readme_adaptations[[#This Row],[row_id]] ) - ROW( Readme_adaptations[[#Headers],[row_id]] )</calculatedColumnFormula>
    </tableColumn>
    <tableColumn id="4" xr3:uid="{8F8CD713-0ECF-4957-8E94-F3FC5C746031}" name="sector_id" dataDxfId="9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5" dataDxfId="94">
  <autoFilter ref="B3:F5" xr:uid="{58C7AF19-DB28-47F8-BE56-AE985DF1009B}"/>
  <tableColumns count="5">
    <tableColumn id="1" xr3:uid="{055BC283-B8DC-4F37-B787-CE15D79337AE}" name="row_id" dataDxfId="93">
      <calculatedColumnFormula xml:space="preserve"> ROW( Readme_sectors[[#This Row],[row_id]] ) - ROW( Readme_sectors[[#Headers],[row_id]] )</calculatedColumnFormula>
    </tableColumn>
    <tableColumn id="4" xr3:uid="{F1DE1E87-7416-4EC2-83F4-443E818D69E2}" name="sector_id" dataDxfId="92"/>
    <tableColumn id="2" xr3:uid="{69F42C58-EA29-416E-A03E-490DCD1DAC6F}" name="adapt_id" dataDxfId="91"/>
    <tableColumn id="3" xr3:uid="{995768DD-996C-4A25-A331-EA651CF80A08}" name="adapt_label" dataDxfId="90"/>
    <tableColumn id="5" xr3:uid="{B607221E-C635-413E-A992-7E4B369F50F2}" name="Description" dataDxfId="89"/>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280" totalsRowShown="0" headerRowDxfId="88" dataDxfId="87">
  <autoFilter ref="A1:G1280"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6">
      <calculatedColumnFormula xml:space="preserve"> ROW( scalarDataframe[[#This Row],[row_id]] ) - ROW( scalarDataframe[[#Headers],[row_id]] )</calculatedColumnFormula>
    </tableColumn>
    <tableColumn id="7" xr3:uid="{5629A03B-F5E7-4251-8BE0-29755F9DEEF4}" name="scalarType" dataDxfId="85">
      <calculatedColumnFormula xml:space="preserve"> INDEX( co_scalarInfo[scalarType], MATCH( scalarDataframe[[#This Row],[scalarName]], co_scalarInfo[scalarName], 0 ) )</calculatedColumnFormula>
    </tableColumn>
    <tableColumn id="6" xr3:uid="{EAB00170-C54B-4F2E-A83B-7CD2973B9217}" name="scalarLabel" dataDxfId="84">
      <calculatedColumnFormula xml:space="preserve"> INDEX( co_scalarInfo[scalarLabel], MATCH( scalarDataframe[[#This Row],[scalarName]], co_scalarInfo[scalarName], 0 ) )</calculatedColumnFormula>
    </tableColumn>
    <tableColumn id="1" xr3:uid="{BEF24C34-21C6-484B-99B8-4D2302D0D7DE}" name="scalarName" dataDxfId="83"/>
    <tableColumn id="5" xr3:uid="{FACDE178-C405-470C-9ED1-05FB40F80840}" name="region" dataDxfId="82"/>
    <tableColumn id="14" xr3:uid="{BCE95E2F-5B10-4D18-9633-30354597338F}" name="year" dataDxfId="81"/>
    <tableColumn id="9" xr3:uid="{DE2AE657-02B0-46A2-B4A9-F8887225A818}" name="value" dataDxfId="8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4" totalsRowShown="0" headerRowDxfId="79">
  <autoFilter ref="A1:P307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8">
      <calculatedColumnFormula xml:space="preserve"> ROW( data_scaledImpacts[[#This Row],[row_id]] ) - ROW( data_scaledImpacts[[#Headers],[row_id]] )</calculatedColumnFormula>
    </tableColumn>
    <tableColumn id="2" xr3:uid="{2DEF2382-F499-4843-895A-686011F97248}" name="output_lookupID" dataDxfId="77">
      <calculatedColumnFormula xml:space="preserve"> _xlfn.TEXTJOIN( "", , data_scaledImpacts[[#This Row],[sector]:[impactType]] )</calculatedColumnFormula>
    </tableColumn>
    <tableColumn id="3" xr3:uid="{A07F71E0-9C40-47D4-89FF-270CA2449A8D}" name="sector" dataDxfId="76"/>
    <tableColumn id="4" xr3:uid="{DA36AA1F-6D86-4CA8-8836-A83B43C67B05}" name="model" dataDxfId="75"/>
    <tableColumn id="5" xr3:uid="{EDD0DD68-817F-473E-B837-7D264DAF7650}" name="modelUnitValue" dataDxfId="74"/>
    <tableColumn id="6" xr3:uid="{E4181268-243D-4157-BBEA-8F6D73BCFDA4}" name="impactYear" dataDxfId="73"/>
    <tableColumn id="7" xr3:uid="{6BC8264A-FD6A-4A74-A54E-E4BEFFC2FF0E}" name="variant" dataDxfId="72"/>
    <tableColumn id="8" xr3:uid="{35492AA1-EFA5-4FC6-9F20-F1C21885CFDF}" name="impactType" dataDxfId="71"/>
    <tableColumn id="9" xr3:uid="{8E5D0643-1EAD-47B7-8617-B171A8E0D4EB}" name="outputRowID"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7" dT="2021-01-25T18:27:33.65" personId="{00000000-0000-0000-0000-000000000000}" id="{40274E0A-9A04-480D-A5E8-2C38F8B3CAD3}">
    <text>Empty values are replaced with "NA" in the R tool.</text>
  </threadedComment>
  <threadedComment ref="E78" dT="2022-09-13T14:35:47.65" personId="{00000000-0000-0000-0000-000000000000}" id="{61FF9366-C253-4143-8900-DE7FDB924463}">
    <text>No spaces in this ID!</text>
  </threadedComment>
  <threadedComment ref="F78" dT="2021-01-25T18:27:05.88" personId="{00000000-0000-0000-0000-000000000000}" id="{542BB73C-7B7B-47C8-9756-BF410F525304}">
    <text>"N/A" is converted to "NA" in the R Tool</text>
  </threadedComment>
  <threadedComment ref="G7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8" dT="2021-04-02T15:33:36.18" personId="{00000000-0000-0000-0000-000000000000}" id="{3962DDEC-520D-4477-AB4D-6A758B04F9CC}">
    <text>Boolean field -- indicates whether a sector includes sub-impact estimates. See sector table above for list of sub-impact estimates.</text>
  </threadedComment>
  <threadedComment ref="F124" dT="2021-01-25T18:27:53.76" personId="{00000000-0000-0000-0000-000000000000}" id="{46412BAC-F8AA-4C6A-9657-79D004ABECB6}">
    <text>Empty values are replaced with "NA" in the R tool.</text>
  </threadedComment>
  <threadedComment ref="R124" dT="2021-01-25T18:07:09.78" personId="{00000000-0000-0000-0000-000000000000}" id="{CEA9DDE6-3350-41DC-8E42-E0F398550E2B}">
    <text>Check presence of data in the table.</text>
  </threadedComment>
  <threadedComment ref="I142" dT="2021-04-29T18:53:19.81" personId="{00000000-0000-0000-0000-000000000000}" id="{B944EC01-36D0-40EC-99E6-BA8270B055AE}">
    <text>May add a physical scalar in the future - total regional property value</text>
  </threadedComment>
  <threadedComment ref="I142" dT="2021-04-29T18:53:45.21" personId="{00000000-0000-0000-0000-000000000000}" id="{D0F6E8CF-0610-4E7B-8A56-BC47CE157016}" parentId="{B944EC01-36D0-40EC-99E6-BA8270B055AE}">
    <text>For now keeping it without, for consistency with coastal properties</text>
  </threadedComment>
  <threadedComment ref="F17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3" dT="2021-02-11T17:01:11.40" personId="{00000000-0000-0000-0000-000000000000}" id="{74E8C379-DF77-4FAE-8C13-4D0000C68271}">
    <text>Year when change and impacts are zero</text>
  </threadedComment>
  <threadedComment ref="K223" dT="2021-02-15T18:58:52.31" personId="{00000000-0000-0000-0000-000000000000}" id="{984021BA-DD3F-4758-AAFF-698CBFB1E97F}">
    <text>Maximum value to extrapolate to, for models that go up to the maximum output value.</text>
  </threadedComment>
  <threadedComment ref="F261" dT="2021-03-30T17:50:58.78" personId="{00000000-0000-0000-0000-000000000000}" id="{A6091107-2825-473E-BBBE-411522F90494}">
    <text>Name of argument to import_inputs</text>
  </threadedComment>
  <threadedComment ref="G261" dT="2021-03-30T17:49:55.46" personId="{00000000-0000-0000-0000-000000000000}" id="{A03B3CB5-A1AE-46DC-B1DB-A9148D8693C3}">
    <text>Name of list element name of input to tempBin</text>
  </threadedComment>
  <threadedComment ref="L261"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tabSelected="1" workbookViewId="0"/>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1" workbookViewId="0">
      <pane xSplit="2" topLeftCell="G1" activePane="topRight" state="frozen"/>
      <selection activeCell="B1" sqref="B1"/>
      <selection pane="topRight" activeCell="N9" sqref="N9"/>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25</v>
      </c>
      <c r="I4" s="62">
        <f ca="1" xml:space="preserve"> doc_tablesList[[#This Row],[Number of Data Rows]] + doc_tablesList[[#This Row],[Header Row]]</f>
        <v>43</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1279</v>
      </c>
      <c r="I5" s="62">
        <f ca="1" xml:space="preserve"> doc_tablesList[[#This Row],[Number of Data Rows]] + doc_tablesList[[#This Row],[Header Row]]</f>
        <v>1280</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3073</v>
      </c>
      <c r="I6" s="62">
        <f ca="1" xml:space="preserve"> doc_tablesList[[#This Row],[Number of Data Rows]] + doc_tablesList[[#This Row],[Header Row]]</f>
        <v>3074</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78</v>
      </c>
      <c r="H9" s="62">
        <f ca="1" xml:space="preserve"> MAX( INDIRECT( _xlfn.TEXTJOIN( "", , doc_tablesList[[#This Row],[Table Name]], "[", doc_tablesList[[#This Row],[ID_columnName]], "]" ) ) )</f>
        <v>42</v>
      </c>
      <c r="I9" s="62">
        <f ca="1" xml:space="preserve"> doc_tablesList[[#This Row],[Number of Data Rows]] + doc_tablesList[[#This Row],[Header Row]]</f>
        <v>120</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47</v>
      </c>
      <c r="H10" s="62">
        <f ca="1" xml:space="preserve"> MAX( INDIRECT( _xlfn.TEXTJOIN( "", , doc_tablesList[[#This Row],[Table Name]], "[", doc_tablesList[[#This Row],[ID_columnName]], "]" ) ) )</f>
        <v>25</v>
      </c>
      <c r="I10" s="62">
        <f ca="1" xml:space="preserve"> doc_tablesList[[#This Row],[Number of Data Rows]] + doc_tablesList[[#This Row],[Header Row]]</f>
        <v>72</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124</v>
      </c>
      <c r="H11" s="62">
        <f ca="1" xml:space="preserve"> MAX( INDIRECT( _xlfn.TEXTJOIN( "", , doc_tablesList[[#This Row],[Table Name]], "[", doc_tablesList[[#This Row],[ID_columnName]], "]" ) ) )</f>
        <v>43</v>
      </c>
      <c r="I11" s="62">
        <f ca="1" xml:space="preserve"> doc_tablesList[[#This Row],[Number of Data Rows]] + doc_tablesList[[#This Row],[Header Row]]</f>
        <v>167</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172</v>
      </c>
      <c r="H12" s="62">
        <f ca="1" xml:space="preserve"> MAX( INDIRECT( _xlfn.TEXTJOIN( "", , doc_tablesList[[#This Row],[Table Name]], "[", doc_tablesList[[#This Row],[ID_columnName]], "]" ) ) )</f>
        <v>30</v>
      </c>
      <c r="I12" s="62">
        <f ca="1" xml:space="preserve"> doc_tablesList[[#This Row],[Number of Data Rows]] + doc_tablesList[[#This Row],[Header Row]]</f>
        <v>202</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249</v>
      </c>
      <c r="H13" s="62">
        <f ca="1" xml:space="preserve"> MAX( INDIRECT( _xlfn.TEXTJOIN( "", , doc_tablesList[[#This Row],[Table Name]], "[", doc_tablesList[[#This Row],[ID_columnName]], "]" ) ) )</f>
        <v>7</v>
      </c>
      <c r="I13" s="62">
        <f ca="1" xml:space="preserve"> doc_tablesList[[#This Row],[Number of Data Rows]] + doc_tablesList[[#This Row],[Header Row]]</f>
        <v>256</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230</v>
      </c>
      <c r="H14" s="62">
        <f ca="1" xml:space="preserve"> MAX( INDIRECT( _xlfn.TEXTJOIN( "", , doc_tablesList[[#This Row],[Table Name]], "[", doc_tablesList[[#This Row],[ID_columnName]], "]" ) ) )</f>
        <v>14</v>
      </c>
      <c r="I14" s="62">
        <f ca="1" xml:space="preserve"> doc_tablesList[[#This Row],[Number of Data Rows]] + doc_tablesList[[#This Row],[Header Row]]</f>
        <v>244</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207</v>
      </c>
      <c r="H15" s="62">
        <f ca="1" xml:space="preserve"> MAX( INDIRECT( _xlfn.TEXTJOIN( "", , doc_tablesList[[#This Row],[Table Name]], "[", doc_tablesList[[#This Row],[ID_columnName]], "]" ) ) )</f>
        <v>3</v>
      </c>
      <c r="I15" s="62">
        <f ca="1" xml:space="preserve"> doc_tablesList[[#This Row],[Number of Data Rows]] + doc_tablesList[[#This Row],[Header Row]]</f>
        <v>210</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223</v>
      </c>
      <c r="H16" s="62">
        <f ca="1" xml:space="preserve"> MAX( INDIRECT( _xlfn.TEXTJOIN( "", , doc_tablesList[[#This Row],[Table Name]], "[", doc_tablesList[[#This Row],[ID_columnName]], "]" ) ) )</f>
        <v>2</v>
      </c>
      <c r="I16" s="62">
        <f ca="1" xml:space="preserve"> doc_tablesList[[#This Row],[Number of Data Rows]] + doc_tablesList[[#This Row],[Header Row]]</f>
        <v>225</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261</v>
      </c>
      <c r="H17" s="62">
        <f ca="1" xml:space="preserve"> MAX( INDIRECT( _xlfn.TEXTJOIN( "", , doc_tablesList[[#This Row],[Table Name]], "[", doc_tablesList[[#This Row],[ID_columnName]], "]" ) ) )</f>
        <v>4</v>
      </c>
      <c r="I17" s="62">
        <f ca="1" xml:space="preserve"> doc_tablesList[[#This Row],[Number of Data Rows]] + doc_tablesList[[#This Row],[Header Row]]</f>
        <v>265</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5"/>
  <sheetViews>
    <sheetView topLeftCell="A186" zoomScale="90" zoomScaleNormal="90" workbookViewId="0">
      <pane xSplit="3" topLeftCell="D1" activePane="topRight" state="frozen"/>
      <selection pane="topRight" activeCell="E199" sqref="E199"/>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31.5"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x14ac:dyDescent="0.3">
      <c r="B33" s="141">
        <f xml:space="preserve"> ROW( co_sectors[[#This Row],[row_id]] ) - ROW( co_sectors[[#Headers],[row_id]] )</f>
        <v>15</v>
      </c>
      <c r="C33" s="124" t="s">
        <v>1313</v>
      </c>
      <c r="D33" s="54" t="s">
        <v>1314</v>
      </c>
      <c r="E33" s="28">
        <v>1</v>
      </c>
      <c r="F33" s="31" t="s">
        <v>819</v>
      </c>
      <c r="G33" s="14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N/A</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1</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63</v>
      </c>
    </row>
    <row r="34" spans="1:21" ht="31.5" x14ac:dyDescent="0.3">
      <c r="B34" s="120">
        <f xml:space="preserve"> ROW( co_sectors[[#This Row],[row_id]] ) - ROW( co_sectors[[#Headers],[row_id]] )</f>
        <v>16</v>
      </c>
      <c r="C34" s="121" t="s">
        <v>209</v>
      </c>
      <c r="D34" s="55" t="s">
        <v>209</v>
      </c>
      <c r="E34" s="28">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31.5" x14ac:dyDescent="0.3">
      <c r="B35" s="122">
        <f xml:space="preserve"> ROW( co_sectors[[#This Row],[row_id]] ) - ROW( co_sectors[[#Headers],[row_id]] )</f>
        <v>17</v>
      </c>
      <c r="C35" s="119" t="s">
        <v>216</v>
      </c>
      <c r="D35" s="54" t="s">
        <v>216</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0</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5" s="68" t="str">
        <f ca="1" xml:space="preserve"> _xlfn.TEXTJOIN( ", ", 1,
  OFFSET( INDIRECT( ADDRESS( ROW( INDEX( co_impactYears[sector_id], MATCH( co_sectors[[#This Row],[sector_id]], co_impactYears[sector_id], 0 ) ) ),  COLUMN( co_impactYears[[#Headers],[sector_id]] ), , , "controlTables" ) ), 0, 1, 1, 4 )
)</f>
        <v>N/A</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68" cm="1">
        <f t="array" ref="K35" xml:space="preserve"> SUMPRODUCT( --( co_sectors[[#This Row],[sector_id]] = co_variants[sector_id] ) )</f>
        <v>3</v>
      </c>
      <c r="L35" s="68" cm="1">
        <f t="array" ref="L35" xml:space="preserve"> SUMPRODUCT( --( co_sectors[[#This Row],[sector_id]] = co_impactTypes[sector_id] ) )</f>
        <v>1</v>
      </c>
      <c r="M35" s="68" cm="1">
        <f t="array" ref="M35" xml:space="preserve"> IF( INDEX( co_impactYears[N/A], MATCH( 1, --( co_sectors[[#This Row],[sector_id]] = co_impactYears[sector_id] ), 0 ) ) = "N/A", 1, 2 )</f>
        <v>1</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189</v>
      </c>
    </row>
    <row r="36" spans="1:21" ht="42" x14ac:dyDescent="0.3">
      <c r="B36" s="120">
        <f xml:space="preserve"> ROW( co_sectors[[#This Row],[row_id]] ) - ROW( co_sectors[[#Headers],[row_id]] )</f>
        <v>18</v>
      </c>
      <c r="C36" s="121" t="s">
        <v>85</v>
      </c>
      <c r="D36" s="55" t="s">
        <v>197</v>
      </c>
      <c r="E36" s="29">
        <v>1</v>
      </c>
      <c r="F36" s="30" t="s">
        <v>819</v>
      </c>
      <c r="G36" s="52" cm="1">
        <f t="array" ref="G36" xml:space="preserve"> IF( AND( SUMPRODUCT( co_impactYears[2010], --( co_sectors[[#This Row],[sector_id]] = co_impactYears[sector_id] ) ) &gt; 1,  SUMPRODUCT( co_impactYears[2090], --( co_sectors[[#This Row],[sector_id]] = co_impactYears[sector_id] ) ) &gt; 1 ), 1, 0 )</f>
        <v>1</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2010, 2090</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6" s="68" cm="1">
        <f t="array" ref="K36" xml:space="preserve"> SUMPRODUCT( --( co_sectors[[#This Row],[sector_id]] = co_variants[sector_id] ) )</f>
        <v>1</v>
      </c>
      <c r="L36" s="68" cm="1">
        <f t="array" ref="L36" xml:space="preserve"> SUMPRODUCT( --( co_sectors[[#This Row],[sector_id]] = co_impactTypes[sector_id] ) )</f>
        <v>5</v>
      </c>
      <c r="M36" s="68" cm="1">
        <f t="array" ref="M36" xml:space="preserve"> IF( INDEX( co_impactYears[N/A], MATCH( 1, --( co_sectors[[#This Row],[sector_id]] = co_impactYears[sector_id] ), 0 ) ) = "N/A", 1, 2 )</f>
        <v>2</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630</v>
      </c>
    </row>
    <row r="37" spans="1:21" x14ac:dyDescent="0.3">
      <c r="B37" s="122">
        <f xml:space="preserve"> ROW( co_sectors[[#This Row],[row_id]] ) - ROW( co_sectors[[#Headers],[row_id]] )</f>
        <v>19</v>
      </c>
      <c r="C37" s="124" t="s">
        <v>225</v>
      </c>
      <c r="D37" s="54" t="s">
        <v>226</v>
      </c>
      <c r="E37" s="28">
        <v>1</v>
      </c>
      <c r="F37" s="30"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68" cm="1">
        <f t="array" ref="K37" xml:space="preserve"> SUMPRODUCT( --( co_sectors[[#This Row],[sector_id]] = co_variants[sector_id] ) )</f>
        <v>1</v>
      </c>
      <c r="L37" s="68" cm="1">
        <f t="array" ref="L37" xml:space="preserve"> SUMPRODUCT( --( co_sectors[[#This Row],[sector_id]] = co_impactTypes[sector_id] ) )</f>
        <v>1</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63</v>
      </c>
    </row>
    <row r="38" spans="1:21" ht="21" x14ac:dyDescent="0.3">
      <c r="B38" s="120">
        <f xml:space="preserve"> ROW( co_sectors[[#This Row],[row_id]] ) - ROW( co_sectors[[#Headers],[row_id]] )</f>
        <v>20</v>
      </c>
      <c r="C38" s="121" t="s">
        <v>983</v>
      </c>
      <c r="D38" s="55" t="s">
        <v>984</v>
      </c>
      <c r="E38" s="29">
        <v>1</v>
      </c>
      <c r="F38" s="31" t="s">
        <v>819</v>
      </c>
      <c r="G38" s="52" cm="1">
        <f t="array" ref="G38" xml:space="preserve"> IF( AND( SUMPRODUCT( co_impactYears[2010], --( co_sectors[[#This Row],[sector_id]] = co_impactYears[sector_id] ) ) &gt; 1,  SUMPRODUCT( co_impactYears[2090], --( co_sectors[[#This Row],[sector_id]] = co_impactYears[sector_id] ) ) &gt; 1 ), 1, 0 )</f>
        <v>0</v>
      </c>
      <c r="H38" s="68"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68" t="str">
        <f ca="1" xml:space="preserve"> _xlfn.TEXTJOIN( ", ", 1,
  OFFSET( INDIRECT( ADDRESS( ROW( INDEX( co_impactYears[sector_id], MATCH( co_sectors[[#This Row],[sector_id]], co_impactYears[sector_id], 0 ) ) ),  COLUMN( co_impactYears[[#Headers],[sector_id]] ), , , "controlTables" ) ), 0, 1, 1, 4 )
)</f>
        <v>N/A</v>
      </c>
      <c r="J38" s="6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8" s="68" cm="1">
        <f t="array" ref="K38" xml:space="preserve"> SUMPRODUCT( --( co_sectors[[#This Row],[sector_id]] = co_variants[sector_id] ) )</f>
        <v>1</v>
      </c>
      <c r="L38" s="68" cm="1">
        <f t="array" ref="L38" xml:space="preserve"> SUMPRODUCT( --( co_sectors[[#This Row],[sector_id]] = co_impactTypes[sector_id] ) )</f>
        <v>3</v>
      </c>
      <c r="M38" s="68" cm="1">
        <f t="array" ref="M38" xml:space="preserve"> IF( INDEX( co_impactYears[N/A], MATCH( 1, --( co_sectors[[#This Row],[sector_id]] = co_impactYears[sector_id] ), 0 ) ) = "N/A", 1, 2 )</f>
        <v>1</v>
      </c>
      <c r="N38" s="68" cm="1">
        <f t="array" ref="N38" xml:space="preserve"> INDEX( co_modelTypes[Number of models], MATCH( 1, --( co_sectors[[#This Row],[modelType]] = co_modelTypes[modelType_id] ), 0 ) ) + IF( co_sectors[[#This Row],[modelType]] = "gcm", 1, 0 )</f>
        <v>9</v>
      </c>
      <c r="O38" s="68" cm="1">
        <f t="array" ref="O38" xml:space="preserve"> INDEX( co_modelTypes[Number of levels], MATCH( 1, --( co_sectors[[#This Row],[modelType]] = co_modelTypes[modelType_id] ), 0 ) )</f>
        <v>7</v>
      </c>
      <c r="P38" s="68">
        <f xml:space="preserve"> PRODUCT( co_sectors[[#This Row],[Number of variants]:[Number of levels]] )</f>
        <v>189</v>
      </c>
    </row>
    <row r="39" spans="1:21" ht="21" x14ac:dyDescent="0.3">
      <c r="B39" s="122">
        <f xml:space="preserve"> ROW( co_sectors[[#This Row],[row_id]] ) - ROW( co_sectors[[#Headers],[row_id]] )</f>
        <v>21</v>
      </c>
      <c r="C39" s="124" t="s">
        <v>1306</v>
      </c>
      <c r="D39" s="54" t="s">
        <v>1306</v>
      </c>
      <c r="E39" s="28">
        <v>1</v>
      </c>
      <c r="F39" s="31"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9" s="68" cm="1">
        <f t="array" ref="K39" xml:space="preserve"> SUMPRODUCT( --( co_sectors[[#This Row],[sector_id]] = co_variants[sector_id] ) )</f>
        <v>1</v>
      </c>
      <c r="L39" s="68" cm="1">
        <f t="array" ref="L39" xml:space="preserve"> SUMPRODUCT( --( co_sectors[[#This Row],[sector_id]] = co_impactTypes[sector_id] ) )</f>
        <v>3</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189</v>
      </c>
    </row>
    <row r="40" spans="1:21" x14ac:dyDescent="0.3">
      <c r="B40" s="120">
        <f xml:space="preserve"> ROW( co_sectors[[#This Row],[row_id]] ) - ROW( co_sectors[[#Headers],[row_id]] )</f>
        <v>22</v>
      </c>
      <c r="C40" s="121" t="s">
        <v>227</v>
      </c>
      <c r="D40" s="55" t="s">
        <v>228</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68" cm="1">
        <f t="array" ref="K40" xml:space="preserve"> SUMPRODUCT( --( co_sectors[[#This Row],[sector_id]] = co_variants[sector_id] ) )</f>
        <v>1</v>
      </c>
      <c r="L40" s="68" cm="1">
        <f t="array" ref="L40" xml:space="preserve"> SUMPRODUCT( --( co_sectors[[#This Row],[sector_id]] = co_impactTypes[sector_id] ) )</f>
        <v>1</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63</v>
      </c>
    </row>
    <row r="41" spans="1:21" ht="21" x14ac:dyDescent="0.3">
      <c r="B41" s="120">
        <f xml:space="preserve"> ROW( co_sectors[[#This Row],[row_id]] ) - ROW( co_sectors[[#Headers],[row_id]] )</f>
        <v>23</v>
      </c>
      <c r="C41" s="121" t="s">
        <v>761</v>
      </c>
      <c r="D41" s="55" t="s">
        <v>761</v>
      </c>
      <c r="E41" s="28">
        <v>1</v>
      </c>
      <c r="F41" s="30"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1" s="68" cm="1">
        <f t="array" ref="K41" xml:space="preserve"> SUMPRODUCT( --( co_sectors[[#This Row],[sector_id]] = co_variants[sector_id] ) )</f>
        <v>1</v>
      </c>
      <c r="L41" s="68" cm="1">
        <f t="array" ref="L41" xml:space="preserve"> SUMPRODUCT( --( co_sectors[[#This Row],[sector_id]] = co_impactTypes[sector_id] ) )</f>
        <v>3</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189</v>
      </c>
    </row>
    <row r="42" spans="1:21" x14ac:dyDescent="0.3">
      <c r="B42" s="120">
        <f xml:space="preserve"> ROW( co_sectors[[#This Row],[row_id]] ) - ROW( co_sectors[[#Headers],[row_id]] )</f>
        <v>24</v>
      </c>
      <c r="C42" s="124" t="s">
        <v>1088</v>
      </c>
      <c r="D42" s="54" t="s">
        <v>1098</v>
      </c>
      <c r="E42" s="28">
        <v>1</v>
      </c>
      <c r="F42" s="31" t="s">
        <v>819</v>
      </c>
      <c r="G42" s="52" cm="1">
        <f t="array" ref="G42" xml:space="preserve"> IF( AND( SUMPRODUCT( co_impactYears[2010], --( co_sectors[[#This Row],[sector_id]] = co_impactYears[sector_id] ) ) &gt; 1,  SUMPRODUCT( co_impactYears[2090], --( co_sectors[[#This Row],[sector_id]] = co_impactYears[sector_id] ) ) &gt; 1 ), 1, 0 )</f>
        <v>0</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N/A</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N/A</v>
      </c>
      <c r="K42" s="68" cm="1">
        <f t="array" ref="K42" xml:space="preserve"> SUMPRODUCT( --( co_sectors[[#This Row],[sector_id]] = co_variants[sector_id] ) )</f>
        <v>1</v>
      </c>
      <c r="L42" s="68" cm="1">
        <f t="array" ref="L42" xml:space="preserve"> SUMPRODUCT( --( co_sectors[[#This Row],[sector_id]] = co_impactTypes[sector_id] ) )</f>
        <v>1</v>
      </c>
      <c r="M42" s="68" cm="1">
        <f t="array" ref="M42" xml:space="preserve"> IF( INDEX( co_impactYears[N/A], MATCH( 1, --( co_sectors[[#This Row],[sector_id]] = co_impactYears[sector_id] ), 0 ) ) = "N/A", 1, 2 )</f>
        <v>1</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63</v>
      </c>
    </row>
    <row r="43" spans="1:21" ht="21" x14ac:dyDescent="0.3">
      <c r="B43" s="120">
        <f xml:space="preserve"> ROW( co_sectors[[#This Row],[row_id]] ) - ROW( co_sectors[[#Headers],[row_id]] )</f>
        <v>25</v>
      </c>
      <c r="C43" s="124" t="s">
        <v>89</v>
      </c>
      <c r="D43" s="54" t="s">
        <v>196</v>
      </c>
      <c r="E43" s="28">
        <v>1</v>
      </c>
      <c r="F43" s="30" t="s">
        <v>819</v>
      </c>
      <c r="G43" s="52" cm="1">
        <f t="array" ref="G43" xml:space="preserve"> IF( AND( SUMPRODUCT( co_impactYears[2010], --( co_sectors[[#This Row],[sector_id]] = co_impactYears[sector_id] ) ) &gt; 1,  SUMPRODUCT( co_impactYears[2090], --( co_sectors[[#This Row],[sector_id]] = co_impactYears[sector_id] ) ) &gt; 1 ), 1, 0 )</f>
        <v>1</v>
      </c>
      <c r="H43" s="68" t="str" cm="1">
        <f t="array" aca="1" ref="H43" ca="1" xml:space="preserve"> _xlfn.TEXTJOIN( ", ", 1,
  IF( OFFSET( INDIRECT( ADDRESS( ROW( co_variants[[#Headers],[row_id]] ),  COLUMN( co_variants[[#Headers],[sector_id]] ), , , "controlTables" ) ), 1, 0, MAX( co_variants[row_id] ), 1 ) = co_sectors[[#This Row],[sector_id]], co_variants[variant_label], "" )
)</f>
        <v>N/A</v>
      </c>
      <c r="I43" s="68" t="str">
        <f ca="1" xml:space="preserve"> _xlfn.TEXTJOIN( ", ", 1,
  OFFSET( INDIRECT( ADDRESS( ROW( INDEX( co_impactYears[sector_id], MATCH( co_sectors[[#This Row],[sector_id]], co_impactYears[sector_id], 0 ) ) ),  COLUMN( co_impactYears[[#Headers],[sector_id]] ), , , "controlTables" ) ), 0, 1, 1, 4 )
)</f>
        <v>2010, 2090</v>
      </c>
      <c r="J43" s="68" t="str" cm="1">
        <f t="array" aca="1" ref="J43"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3" s="68" cm="1">
        <f t="array" ref="K43" xml:space="preserve"> SUMPRODUCT( --( co_sectors[[#This Row],[sector_id]] = co_variants[sector_id] ) )</f>
        <v>1</v>
      </c>
      <c r="L43" s="68" cm="1">
        <f t="array" ref="L43" xml:space="preserve"> SUMPRODUCT( --( co_sectors[[#This Row],[sector_id]] = co_impactTypes[sector_id] ) )</f>
        <v>3</v>
      </c>
      <c r="M43" s="68" cm="1">
        <f t="array" ref="M43" xml:space="preserve"> IF( INDEX( co_impactYears[N/A], MATCH( 1, --( co_sectors[[#This Row],[sector_id]] = co_impactYears[sector_id] ), 0 ) ) = "N/A", 1, 2 )</f>
        <v>2</v>
      </c>
      <c r="N43" s="68" cm="1">
        <f t="array" ref="N43" xml:space="preserve"> INDEX( co_modelTypes[Number of models], MATCH( 1, --( co_sectors[[#This Row],[modelType]] = co_modelTypes[modelType_id] ), 0 ) ) + IF( co_sectors[[#This Row],[modelType]] = "gcm", 1, 0 )</f>
        <v>9</v>
      </c>
      <c r="O43" s="68" cm="1">
        <f t="array" ref="O43" xml:space="preserve"> INDEX( co_modelTypes[Number of levels], MATCH( 1, --( co_sectors[[#This Row],[modelType]] = co_modelTypes[modelType_id] ), 0 ) )</f>
        <v>7</v>
      </c>
      <c r="P43" s="68">
        <f xml:space="preserve"> PRODUCT( co_sectors[[#This Row],[Number of variants]:[Number of levels]] )</f>
        <v>378</v>
      </c>
    </row>
    <row r="45" spans="1:21" ht="14.5" x14ac:dyDescent="0.35">
      <c r="A45" s="47"/>
      <c r="B45" s="48" t="s">
        <v>1028</v>
      </c>
      <c r="C45" s="48"/>
      <c r="D45" s="48"/>
      <c r="E45" s="48"/>
      <c r="F45" s="48"/>
      <c r="G45" s="48"/>
      <c r="H45" s="48"/>
      <c r="I45" s="48"/>
      <c r="J45" s="48"/>
      <c r="K45" s="48"/>
      <c r="L45" s="48"/>
      <c r="M45" s="48"/>
      <c r="N45" s="48"/>
      <c r="O45" s="48"/>
      <c r="P45" s="48"/>
      <c r="Q45" s="48"/>
      <c r="R45" s="48"/>
      <c r="S45" s="48"/>
      <c r="T45" s="48"/>
      <c r="U45" s="48"/>
    </row>
    <row r="47" spans="1:21" x14ac:dyDescent="0.3">
      <c r="B47" s="60" t="s">
        <v>780</v>
      </c>
      <c r="C47" s="60" t="s">
        <v>219</v>
      </c>
      <c r="D47" s="62" t="s">
        <v>201</v>
      </c>
      <c r="E47" s="31" t="s">
        <v>902</v>
      </c>
      <c r="F47" s="62" t="s">
        <v>903</v>
      </c>
    </row>
    <row r="48" spans="1:21" x14ac:dyDescent="0.3">
      <c r="B48" s="7">
        <f xml:space="preserve"> ROW( co_impactYears[[#This Row],[row_id]] ) - ROW(co_impactYears[[#Headers],[row_id]] )</f>
        <v>1</v>
      </c>
      <c r="C48" s="14" t="s">
        <v>559</v>
      </c>
      <c r="D48" s="62" t="str" cm="1">
        <f t="array" ref="D48" xml:space="preserve"> IF( SUMPRODUCT( --( VALUE( controlTables!E$47 ) = data_scaledImpacts[impactYear] ), --( co_impactYears[[#This Row],[sector_id]] = data_scaledImpacts[sector] ) ) &gt; 0, "", controlTables!D$47  )</f>
        <v>N/A</v>
      </c>
      <c r="E48" s="31" t="str" cm="1">
        <f t="array" ref="E48" xml:space="preserve"> IF( SUMPRODUCT( --( VALUE( controlTables!E$47 ) = data_scaledImpacts[impactYear] ), --( co_impactYears[[#This Row],[sector_id]] = data_scaledImpacts[sector] ) ) &gt; 0, VALUE( controlTables!E$47 ), "" )</f>
        <v/>
      </c>
      <c r="F48" s="62" t="str" cm="1">
        <f t="array" ref="F48" xml:space="preserve"> IF( SUMPRODUCT( --( VALUE( controlTables!F$47 ) = data_scaledImpacts[impactYear] ), --( co_impactYears[[#This Row],[sector_id]] = data_scaledImpacts[sector] ) ) &gt; 0, VALUE( controlTables!F$47 ), "" )</f>
        <v/>
      </c>
    </row>
    <row r="49" spans="2:6" x14ac:dyDescent="0.3">
      <c r="B49" s="7">
        <f xml:space="preserve"> ROW( co_impactYears[[#This Row],[row_id]] ) - ROW(co_impactYears[[#Headers],[row_id]] )</f>
        <v>2</v>
      </c>
      <c r="C49" s="14" t="s">
        <v>1005</v>
      </c>
      <c r="D49" s="62" t="str" cm="1">
        <f t="array" ref="D49" xml:space="preserve"> IF( SUMPRODUCT( --( VALUE( controlTables!E$47 ) = data_scaledImpacts[impactYear] ), --( co_impactYears[[#This Row],[sector_id]] = data_scaledImpacts[sector] ) ) &gt; 0, "", controlTables!D$47  )</f>
        <v>N/A</v>
      </c>
      <c r="E49" s="31" t="str" cm="1">
        <f t="array" ref="E49" xml:space="preserve"> IF( SUMPRODUCT( --( VALUE( controlTables!E$47 ) = data_scaledImpacts[impactYear] ), --( co_impactYears[[#This Row],[sector_id]] = data_scaledImpacts[sector] ) ) &gt; 0, VALUE( controlTables!E$47 ), "" )</f>
        <v/>
      </c>
      <c r="F49" s="62" t="str" cm="1">
        <f t="array" ref="F49" xml:space="preserve"> IF( SUMPRODUCT( --( VALUE( controlTables!F$47 ) = data_scaledImpacts[impactYear] ), --( co_impactYears[[#This Row],[sector_id]] = data_scaledImpacts[sector] ) ) &gt; 0, VALUE( controlTables!F$47 ), "" )</f>
        <v/>
      </c>
    </row>
    <row r="50" spans="2:6" x14ac:dyDescent="0.3">
      <c r="B50" s="7">
        <f xml:space="preserve"> ROW( co_impactYears[[#This Row],[row_id]] ) - ROW(co_impactYears[[#Headers],[row_id]] )</f>
        <v>3</v>
      </c>
      <c r="C50" s="14" t="s">
        <v>1248</v>
      </c>
      <c r="D50" s="62" t="str" cm="1">
        <f t="array" ref="D50" xml:space="preserve"> IF( SUMPRODUCT( --( VALUE( controlTables!E$47 ) = data_scaledImpacts[impactYear] ), --( co_impactYears[[#This Row],[sector_id]] = data_scaledImpacts[sector] ) ) &gt; 0, "", controlTables!D$47  )</f>
        <v>N/A</v>
      </c>
      <c r="E50" s="31" t="str" cm="1">
        <f t="array" ref="E50" xml:space="preserve"> IF( SUMPRODUCT( --( VALUE( controlTables!E$47 ) = data_scaledImpacts[impactYear] ), --( co_impactYears[[#This Row],[sector_id]] = data_scaledImpacts[sector] ) ) &gt; 0, VALUE( controlTables!E$47 ), "" )</f>
        <v/>
      </c>
      <c r="F50" s="62" t="str" cm="1">
        <f t="array" ref="F50" xml:space="preserve"> IF( SUMPRODUCT( --( VALUE( controlTables!F$47 ) = data_scaledImpacts[impactYear] ), --( co_impactYears[[#This Row],[sector_id]] = data_scaledImpacts[sector] ) ) &gt; 0, VALUE( controlTables!F$47 ), "" )</f>
        <v/>
      </c>
    </row>
    <row r="51" spans="2:6" x14ac:dyDescent="0.3">
      <c r="B51" s="7">
        <f xml:space="preserve"> ROW( co_impactYears[[#This Row],[row_id]] ) - ROW(co_impactYears[[#Headers],[row_id]] )</f>
        <v>4</v>
      </c>
      <c r="C51" s="14" t="s">
        <v>1229</v>
      </c>
      <c r="D51" s="62" t="str" cm="1">
        <f t="array" ref="D51" xml:space="preserve"> IF( SUMPRODUCT( --( VALUE( controlTables!E$47 ) = data_scaledImpacts[impactYear] ), --( co_impactYears[[#This Row],[sector_id]] = data_scaledImpacts[sector] ) ) &gt; 0, "", controlTables!D$47  )</f>
        <v>N/A</v>
      </c>
      <c r="E51" s="31" t="str" cm="1">
        <f t="array" ref="E51" xml:space="preserve"> IF( SUMPRODUCT( --( VALUE( controlTables!E$47 ) = data_scaledImpacts[impactYear] ), --( co_impactYears[[#This Row],[sector_id]] = data_scaledImpacts[sector] ) ) &gt; 0, VALUE( controlTables!E$47 ), "" )</f>
        <v/>
      </c>
      <c r="F51" s="62" t="str" cm="1">
        <f t="array" ref="F51" xml:space="preserve"> IF( SUMPRODUCT( --( VALUE( controlTables!F$47 ) = data_scaledImpacts[impactYear] ), --( co_impactYears[[#This Row],[sector_id]] = data_scaledImpacts[sector] ) ) &gt; 0, VALUE( controlTables!F$47 ), "" )</f>
        <v/>
      </c>
    </row>
    <row r="52" spans="2:6" x14ac:dyDescent="0.3">
      <c r="B52" s="7">
        <f xml:space="preserve"> ROW( co_impactYears[[#This Row],[row_id]] ) - ROW(co_impactYears[[#Headers],[row_id]] )</f>
        <v>5</v>
      </c>
      <c r="C52" s="14" t="s">
        <v>1230</v>
      </c>
      <c r="D52" s="62" t="str" cm="1">
        <f t="array" ref="D52" xml:space="preserve"> IF( SUMPRODUCT( --( VALUE( controlTables!E$47 ) = data_scaledImpacts[impactYear] ), --( co_impactYears[[#This Row],[sector_id]] = data_scaledImpacts[sector] ) ) &gt; 0, "", controlTables!D$47  )</f>
        <v>N/A</v>
      </c>
      <c r="E52" s="31" t="str" cm="1">
        <f t="array" ref="E52" xml:space="preserve"> IF( SUMPRODUCT( --( VALUE( controlTables!E$47 ) = data_scaledImpacts[impactYear] ), --( co_impactYears[[#This Row],[sector_id]] = data_scaledImpacts[sector] ) ) &gt; 0, VALUE( controlTables!E$47 ), "" )</f>
        <v/>
      </c>
      <c r="F52" s="62" t="str" cm="1">
        <f t="array" ref="F52" xml:space="preserve"> IF( SUMPRODUCT( --( VALUE( controlTables!F$47 ) = data_scaledImpacts[impactYear] ), --( co_impactYears[[#This Row],[sector_id]] = data_scaledImpacts[sector] ) ) &gt; 0, VALUE( controlTables!F$47 ), "" )</f>
        <v/>
      </c>
    </row>
    <row r="53" spans="2:6" x14ac:dyDescent="0.3">
      <c r="B53" s="7">
        <f xml:space="preserve"> ROW( co_impactYears[[#This Row],[row_id]] ) - ROW(co_impactYears[[#Headers],[row_id]] )</f>
        <v>6</v>
      </c>
      <c r="C53" s="14" t="s">
        <v>1159</v>
      </c>
      <c r="D53" s="62" t="str" cm="1">
        <f t="array" ref="D53" xml:space="preserve"> IF( SUMPRODUCT( --( VALUE( controlTables!E$47 ) = data_scaledImpacts[impactYear] ), --( co_impactYears[[#This Row],[sector_id]] = data_scaledImpacts[sector] ) ) &gt; 0, "", controlTables!D$47  )</f>
        <v>N/A</v>
      </c>
      <c r="E53" s="31" t="str" cm="1">
        <f t="array" ref="E53" xml:space="preserve"> IF( SUMPRODUCT( --( VALUE( controlTables!E$47 ) = data_scaledImpacts[impactYear] ), --( co_impactYears[[#This Row],[sector_id]] = data_scaledImpacts[sector] ) ) &gt; 0, VALUE( controlTables!E$47 ), "" )</f>
        <v/>
      </c>
      <c r="F53" s="62" t="str" cm="1">
        <f t="array" ref="F53" xml:space="preserve"> IF( SUMPRODUCT( --( VALUE( controlTables!F$47 ) = data_scaledImpacts[impactYear] ), --( co_impactYears[[#This Row],[sector_id]] = data_scaledImpacts[sector] ) ) &gt; 0, VALUE( controlTables!F$47 ), "" )</f>
        <v/>
      </c>
    </row>
    <row r="54" spans="2:6" x14ac:dyDescent="0.3">
      <c r="B54" s="7">
        <f xml:space="preserve"> ROW( co_impactYears[[#This Row],[row_id]] ) - ROW(co_impactYears[[#Headers],[row_id]] )</f>
        <v>7</v>
      </c>
      <c r="C54" s="14" t="s">
        <v>86</v>
      </c>
      <c r="D54" s="62" t="str" cm="1">
        <f t="array" ref="D54" xml:space="preserve"> IF( SUMPRODUCT( --( VALUE( controlTables!E$47 ) = data_scaledImpacts[impactYear] ), --( co_impactYears[[#This Row],[sector_id]] = data_scaledImpacts[sector] ) ) &gt; 0, "", controlTables!D$47  )</f>
        <v>N/A</v>
      </c>
      <c r="E54" s="31" t="str" cm="1">
        <f t="array" ref="E54" xml:space="preserve"> IF( SUMPRODUCT( --( VALUE( controlTables!E$47 ) = data_scaledImpacts[impactYear] ), --( co_impactYears[[#This Row],[sector_id]] = data_scaledImpacts[sector] ) ) &gt; 0, VALUE( controlTables!E$47 ), "" )</f>
        <v/>
      </c>
      <c r="F54" s="62" t="str" cm="1">
        <f t="array" ref="F54" xml:space="preserve"> IF( SUMPRODUCT( --( VALUE( controlTables!F$47 ) = data_scaledImpacts[impactYear] ), --( co_impactYears[[#This Row],[sector_id]] = data_scaledImpacts[sector] ) ) &gt; 0, VALUE( controlTables!F$47 ), "" )</f>
        <v/>
      </c>
    </row>
    <row r="55" spans="2:6" x14ac:dyDescent="0.3">
      <c r="B55" s="7">
        <f xml:space="preserve"> ROW( co_impactYears[[#This Row],[row_id]] ) - ROW(co_impactYears[[#Headers],[row_id]] )</f>
        <v>8</v>
      </c>
      <c r="C55" s="14" t="s">
        <v>220</v>
      </c>
      <c r="D55" s="62" t="str" cm="1">
        <f t="array" ref="D55" xml:space="preserve"> IF( SUMPRODUCT( --( VALUE( controlTables!E$47 ) = data_scaledImpacts[impactYear] ), --( co_impactYears[[#This Row],[sector_id]] = data_scaledImpacts[sector] ) ) &gt; 0, "", controlTables!D$47  )</f>
        <v>N/A</v>
      </c>
      <c r="E55" s="31" t="str" cm="1">
        <f t="array" ref="E55" xml:space="preserve"> IF( SUMPRODUCT( --( VALUE( controlTables!E$47 ) = data_scaledImpacts[impactYear] ), --( co_impactYears[[#This Row],[sector_id]] = data_scaledImpacts[sector] ) ) &gt; 0, VALUE( controlTables!E$47 ), "" )</f>
        <v/>
      </c>
      <c r="F55" s="62" t="str" cm="1">
        <f t="array" ref="F55" xml:space="preserve"> IF( SUMPRODUCT( --( VALUE( controlTables!F$47 ) = data_scaledImpacts[impactYear] ), --( co_impactYears[[#This Row],[sector_id]] = data_scaledImpacts[sector] ) ) &gt; 0, VALUE( controlTables!F$47 ), "" )</f>
        <v/>
      </c>
    </row>
    <row r="56" spans="2:6" x14ac:dyDescent="0.3">
      <c r="B56" s="7">
        <f xml:space="preserve"> ROW( co_impactYears[[#This Row],[row_id]] ) - ROW(co_impactYears[[#Headers],[row_id]] )</f>
        <v>9</v>
      </c>
      <c r="C56" s="14" t="s">
        <v>1002</v>
      </c>
      <c r="D56" s="62" t="str" cm="1">
        <f t="array" ref="D56" xml:space="preserve"> IF( SUMPRODUCT( --( VALUE( controlTables!E$47 ) = data_scaledImpacts[impactYear] ), --( co_impactYears[[#This Row],[sector_id]] = data_scaledImpacts[sector] ) ) &gt; 0, "", controlTables!D$47  )</f>
        <v>N/A</v>
      </c>
      <c r="E56" s="31" t="str" cm="1">
        <f t="array" ref="E56" xml:space="preserve"> IF( SUMPRODUCT( --( VALUE( controlTables!E$47 ) = data_scaledImpacts[impactYear] ), --( co_impactYears[[#This Row],[sector_id]] = data_scaledImpacts[sector] ) ) &gt; 0, VALUE( controlTables!E$47 ), "" )</f>
        <v/>
      </c>
      <c r="F56" s="62" t="str" cm="1">
        <f t="array" ref="F56" xml:space="preserve"> IF( SUMPRODUCT( --( VALUE( controlTables!F$47 ) = data_scaledImpacts[impactYear] ), --( co_impactYears[[#This Row],[sector_id]] = data_scaledImpacts[sector] ) ) &gt; 0, VALUE( controlTables!F$47 ), "" )</f>
        <v/>
      </c>
    </row>
    <row r="57" spans="2:6" x14ac:dyDescent="0.3">
      <c r="B57" s="7">
        <f xml:space="preserve"> ROW( co_impactYears[[#This Row],[row_id]] ) - ROW(co_impactYears[[#Headers],[row_id]] )</f>
        <v>10</v>
      </c>
      <c r="C57" s="14" t="s">
        <v>17</v>
      </c>
      <c r="D57" s="62" t="str" cm="1">
        <f t="array" ref="D57" xml:space="preserve"> IF( SUMPRODUCT( --( VALUE( controlTables!E$47 ) = data_scaledImpacts[impactYear] ), --( co_impactYears[[#This Row],[sector_id]] = data_scaledImpacts[sector] ) ) &gt; 0, "", controlTables!D$47  )</f>
        <v/>
      </c>
      <c r="E57" s="31" cm="1">
        <f t="array" ref="E57" xml:space="preserve"> IF( SUMPRODUCT( --( VALUE( controlTables!E$47 ) = data_scaledImpacts[impactYear] ), --( co_impactYears[[#This Row],[sector_id]] = data_scaledImpacts[sector] ) ) &gt; 0, VALUE( controlTables!E$47 ), "" )</f>
        <v>2010</v>
      </c>
      <c r="F57" s="62" cm="1">
        <f t="array" ref="F57" xml:space="preserve"> IF( SUMPRODUCT( --( VALUE( controlTables!F$47 ) = data_scaledImpacts[impactYear] ), --( co_impactYears[[#This Row],[sector_id]] = data_scaledImpacts[sector] ) ) &gt; 0, VALUE( controlTables!F$47 ), "" )</f>
        <v>2090</v>
      </c>
    </row>
    <row r="58" spans="2:6" x14ac:dyDescent="0.3">
      <c r="B58" s="7">
        <f xml:space="preserve"> ROW( co_impactYears[[#This Row],[row_id]] ) - ROW(co_impactYears[[#Headers],[row_id]] )</f>
        <v>11</v>
      </c>
      <c r="C58" s="14" t="s">
        <v>221</v>
      </c>
      <c r="D58" s="62" t="str" cm="1">
        <f t="array" ref="D58" xml:space="preserve"> IF( SUMPRODUCT( --( VALUE( controlTables!E$47 ) = data_scaledImpacts[impactYear] ), --( co_impactYears[[#This Row],[sector_id]] = data_scaledImpacts[sector] ) ) &gt; 0, "", controlTables!D$47  )</f>
        <v>N/A</v>
      </c>
      <c r="E58" s="31" t="str" cm="1">
        <f t="array" ref="E58" xml:space="preserve"> IF( SUMPRODUCT( --( VALUE( controlTables!E$47 ) = data_scaledImpacts[impactYear] ), --( co_impactYears[[#This Row],[sector_id]] = data_scaledImpacts[sector] ) ) &gt; 0, VALUE( controlTables!E$47 ), "" )</f>
        <v/>
      </c>
      <c r="F58" s="62" t="str" cm="1">
        <f t="array" ref="F58" xml:space="preserve"> IF( SUMPRODUCT( --( VALUE( controlTables!F$47 ) = data_scaledImpacts[impactYear] ), --( co_impactYears[[#This Row],[sector_id]] = data_scaledImpacts[sector] ) ) &gt; 0, VALUE( controlTables!F$47 ), "" )</f>
        <v/>
      </c>
    </row>
    <row r="59" spans="2:6" x14ac:dyDescent="0.3">
      <c r="B59" s="7">
        <f xml:space="preserve"> ROW( co_impactYears[[#This Row],[row_id]] ) - ROW(co_impactYears[[#Headers],[row_id]] )</f>
        <v>12</v>
      </c>
      <c r="C59" s="14" t="s">
        <v>84</v>
      </c>
      <c r="D59" s="62" t="str" cm="1">
        <f t="array" ref="D59" xml:space="preserve"> IF( SUMPRODUCT( --( VALUE( controlTables!E$47 ) = data_scaledImpacts[impactYear] ), --( co_impactYears[[#This Row],[sector_id]] = data_scaledImpacts[sector] ) ) &gt; 0, "", controlTables!D$47  )</f>
        <v>N/A</v>
      </c>
      <c r="E59" s="31" t="str" cm="1">
        <f t="array" ref="E59" xml:space="preserve"> IF( SUMPRODUCT( --( VALUE( controlTables!E$47 ) = data_scaledImpacts[impactYear] ), --( co_impactYears[[#This Row],[sector_id]] = data_scaledImpacts[sector] ) ) &gt; 0, VALUE( controlTables!E$47 ), "" )</f>
        <v/>
      </c>
      <c r="F59" s="62" t="str" cm="1">
        <f t="array" ref="F59" xml:space="preserve"> IF( SUMPRODUCT( --( VALUE( controlTables!F$47 ) = data_scaledImpacts[impactYear] ), --( co_impactYears[[#This Row],[sector_id]] = data_scaledImpacts[sector] ) ) &gt; 0, VALUE( controlTables!F$47 ), "" )</f>
        <v/>
      </c>
    </row>
    <row r="60" spans="2:6" x14ac:dyDescent="0.3">
      <c r="B60" s="7">
        <f xml:space="preserve"> ROW( co_impactYears[[#This Row],[row_id]] ) - ROW(co_impactYears[[#Headers],[row_id]] )</f>
        <v>13</v>
      </c>
      <c r="C60" s="14" t="s">
        <v>34</v>
      </c>
      <c r="D60" s="62" t="str" cm="1">
        <f t="array" ref="D60" xml:space="preserve"> IF( SUMPRODUCT( --( VALUE( controlTables!E$47 ) = data_scaledImpacts[impactYear] ), --( co_impactYears[[#This Row],[sector_id]] = data_scaledImpacts[sector] ) ) &gt; 0, "", controlTables!D$47  )</f>
        <v>N/A</v>
      </c>
      <c r="E60" s="31" t="str" cm="1">
        <f t="array" ref="E60" xml:space="preserve"> IF( SUMPRODUCT( --( VALUE( controlTables!E$47 ) = data_scaledImpacts[impactYear] ), --( co_impactYears[[#This Row],[sector_id]] = data_scaledImpacts[sector] ) ) &gt; 0, VALUE( controlTables!E$47 ), "" )</f>
        <v/>
      </c>
      <c r="F60" s="62" t="str" cm="1">
        <f t="array" ref="F60" xml:space="preserve"> IF( SUMPRODUCT( --( VALUE( controlTables!F$47 ) = data_scaledImpacts[impactYear] ), --( co_impactYears[[#This Row],[sector_id]] = data_scaledImpacts[sector] ) ) &gt; 0, VALUE( controlTables!F$47 ), "" )</f>
        <v/>
      </c>
    </row>
    <row r="61" spans="2:6" x14ac:dyDescent="0.3">
      <c r="B61" s="7">
        <f xml:space="preserve"> ROW( co_impactYears[[#This Row],[row_id]] ) - ROW(co_impactYears[[#Headers],[row_id]] )</f>
        <v>14</v>
      </c>
      <c r="C61" s="14" t="s">
        <v>223</v>
      </c>
      <c r="D61" s="62" t="str" cm="1">
        <f t="array" ref="D61" xml:space="preserve"> IF( SUMPRODUCT( --( VALUE( controlTables!E$47 ) = data_scaledImpacts[impactYear] ), --( co_impactYears[[#This Row],[sector_id]] = data_scaledImpacts[sector] ) ) &gt; 0, "", controlTables!D$47  )</f>
        <v>N/A</v>
      </c>
      <c r="E61" s="31" t="str" cm="1">
        <f t="array" ref="E61" xml:space="preserve"> IF( SUMPRODUCT( --( VALUE( controlTables!E$47 ) = data_scaledImpacts[impactYear] ), --( co_impactYears[[#This Row],[sector_id]] = data_scaledImpacts[sector] ) ) &gt; 0, VALUE( controlTables!E$47 ), "" )</f>
        <v/>
      </c>
      <c r="F61" s="62" t="str" cm="1">
        <f t="array" ref="F61" xml:space="preserve"> IF( SUMPRODUCT( --( VALUE( controlTables!F$47 ) = data_scaledImpacts[impactYear] ), --( co_impactYears[[#This Row],[sector_id]] = data_scaledImpacts[sector] ) ) &gt; 0, VALUE( controlTables!F$47 ), "" )</f>
        <v/>
      </c>
    </row>
    <row r="62" spans="2:6" x14ac:dyDescent="0.3">
      <c r="B62" s="138">
        <f xml:space="preserve"> ROW( co_impactYears[[#This Row],[row_id]] ) - ROW(co_impactYears[[#Headers],[row_id]] )</f>
        <v>15</v>
      </c>
      <c r="C62" s="14" t="s">
        <v>1313</v>
      </c>
      <c r="D62" s="143" t="str" cm="1">
        <f t="array" ref="D62" xml:space="preserve"> IF( SUMPRODUCT( --( VALUE( controlTables!E$47 ) = data_scaledImpacts[impactYear] ), --( co_impactYears[[#This Row],[sector_id]] = data_scaledImpacts[sector] ) ) &gt; 0, "", controlTables!D$47  )</f>
        <v>N/A</v>
      </c>
      <c r="E62" s="144" t="str" cm="1">
        <f t="array" ref="E62" xml:space="preserve"> IF( SUMPRODUCT( --( VALUE( controlTables!E$47 ) = data_scaledImpacts[impactYear] ), --( co_impactYears[[#This Row],[sector_id]] = data_scaledImpacts[sector] ) ) &gt; 0, VALUE( controlTables!E$47 ), "" )</f>
        <v/>
      </c>
      <c r="F62" s="143" t="str" cm="1">
        <f t="array" ref="F62" xml:space="preserve"> IF( SUMPRODUCT( --( VALUE( controlTables!F$47 ) = data_scaledImpacts[impactYear] ), --( co_impactYears[[#This Row],[sector_id]] = data_scaledImpacts[sector] ) ) &gt; 0, VALUE( controlTables!F$47 ), "" )</f>
        <v/>
      </c>
    </row>
    <row r="63" spans="2:6" x14ac:dyDescent="0.3">
      <c r="B63" s="7">
        <f xml:space="preserve"> ROW( co_impactYears[[#This Row],[row_id]] ) - ROW(co_impactYears[[#Headers],[row_id]] )</f>
        <v>16</v>
      </c>
      <c r="C63" s="14" t="s">
        <v>209</v>
      </c>
      <c r="D63" s="62" t="str" cm="1">
        <f t="array" ref="D63" xml:space="preserve"> IF( SUMPRODUCT( --( VALUE( controlTables!E$47 ) = data_scaledImpacts[impactYear] ), --( co_impactYears[[#This Row],[sector_id]] = data_scaledImpacts[sector] ) ) &gt; 0, "", controlTables!D$47  )</f>
        <v>N/A</v>
      </c>
      <c r="E63" s="31" t="str" cm="1">
        <f t="array" ref="E63" xml:space="preserve"> IF( SUMPRODUCT( --( VALUE( controlTables!E$47 ) = data_scaledImpacts[impactYear] ), --( co_impactYears[[#This Row],[sector_id]] = data_scaledImpacts[sector] ) ) &gt; 0, VALUE( controlTables!E$47 ), "" )</f>
        <v/>
      </c>
      <c r="F63" s="62" t="str" cm="1">
        <f t="array" ref="F63" xml:space="preserve"> IF( SUMPRODUCT( --( VALUE( controlTables!F$47 ) = data_scaledImpacts[impactYear] ), --( co_impactYears[[#This Row],[sector_id]] = data_scaledImpacts[sector] ) ) &gt; 0, VALUE( controlTables!F$47 ), "" )</f>
        <v/>
      </c>
    </row>
    <row r="64" spans="2:6" x14ac:dyDescent="0.3">
      <c r="B64" s="7">
        <f xml:space="preserve"> ROW( co_impactYears[[#This Row],[row_id]] ) - ROW(co_impactYears[[#Headers],[row_id]] )</f>
        <v>17</v>
      </c>
      <c r="C64" s="14" t="s">
        <v>216</v>
      </c>
      <c r="D64" s="62" t="str" cm="1">
        <f t="array" ref="D64" xml:space="preserve"> IF( SUMPRODUCT( --( VALUE( controlTables!E$47 ) = data_scaledImpacts[impactYear] ), --( co_impactYears[[#This Row],[sector_id]] = data_scaledImpacts[sector] ) ) &gt; 0, "", controlTables!D$47  )</f>
        <v>N/A</v>
      </c>
      <c r="E64" s="31" t="str" cm="1">
        <f t="array" ref="E64" xml:space="preserve"> IF( SUMPRODUCT( --( VALUE( controlTables!E$47 ) = data_scaledImpacts[impactYear] ), --( co_impactYears[[#This Row],[sector_id]] = data_scaledImpacts[sector] ) ) &gt; 0, VALUE( controlTables!E$47 ), "" )</f>
        <v/>
      </c>
      <c r="F64" s="62" t="str" cm="1">
        <f t="array" ref="F64" xml:space="preserve"> IF( SUMPRODUCT( --( VALUE( controlTables!F$47 ) = data_scaledImpacts[impactYear] ), --( co_impactYears[[#This Row],[sector_id]] = data_scaledImpacts[sector] ) ) &gt; 0, VALUE( controlTables!F$47 ), "" )</f>
        <v/>
      </c>
    </row>
    <row r="65" spans="1:21" x14ac:dyDescent="0.3">
      <c r="B65" s="7">
        <f xml:space="preserve"> ROW( co_impactYears[[#This Row],[row_id]] ) - ROW(co_impactYears[[#Headers],[row_id]] )</f>
        <v>18</v>
      </c>
      <c r="C65" s="14" t="s">
        <v>85</v>
      </c>
      <c r="D65" s="62" t="str" cm="1">
        <f t="array" ref="D65" xml:space="preserve"> IF( SUMPRODUCT( --( VALUE( controlTables!E$47 ) = data_scaledImpacts[impactYear] ), --( co_impactYears[[#This Row],[sector_id]] = data_scaledImpacts[sector] ) ) &gt; 0, "", controlTables!D$47  )</f>
        <v/>
      </c>
      <c r="E65" s="31" cm="1">
        <f t="array" ref="E65" xml:space="preserve"> IF( SUMPRODUCT( --( VALUE( controlTables!E$47 ) = data_scaledImpacts[impactYear] ), --( co_impactYears[[#This Row],[sector_id]] = data_scaledImpacts[sector] ) ) &gt; 0, VALUE( controlTables!E$47 ), "" )</f>
        <v>2010</v>
      </c>
      <c r="F65" s="62" cm="1">
        <f t="array" ref="F65" xml:space="preserve"> IF( SUMPRODUCT( --( VALUE( controlTables!F$47 ) = data_scaledImpacts[impactYear] ), --( co_impactYears[[#This Row],[sector_id]] = data_scaledImpacts[sector] ) ) &gt; 0, VALUE( controlTables!F$47 ), "" )</f>
        <v>2090</v>
      </c>
    </row>
    <row r="66" spans="1:21" x14ac:dyDescent="0.3">
      <c r="B66" s="7">
        <f xml:space="preserve"> ROW( co_impactYears[[#This Row],[row_id]] ) - ROW(co_impactYears[[#Headers],[row_id]] )</f>
        <v>19</v>
      </c>
      <c r="C66" s="14" t="s">
        <v>225</v>
      </c>
      <c r="D66" s="62" t="str" cm="1">
        <f t="array" ref="D66" xml:space="preserve"> IF( SUMPRODUCT( --( VALUE( controlTables!E$47 ) = data_scaledImpacts[impactYear] ), --( co_impactYears[[#This Row],[sector_id]] = data_scaledImpacts[sector] ) ) &gt; 0, "", controlTables!D$47  )</f>
        <v>N/A</v>
      </c>
      <c r="E66" s="31" t="str" cm="1">
        <f t="array" ref="E66" xml:space="preserve"> IF( SUMPRODUCT( --( VALUE( controlTables!E$47 ) = data_scaledImpacts[impactYear] ), --( co_impactYears[[#This Row],[sector_id]] = data_scaledImpacts[sector] ) ) &gt; 0, VALUE( controlTables!E$47 ), "" )</f>
        <v/>
      </c>
      <c r="F66" s="62" t="str" cm="1">
        <f t="array" ref="F66" xml:space="preserve"> IF( SUMPRODUCT( --( VALUE( controlTables!F$47 ) = data_scaledImpacts[impactYear] ), --( co_impactYears[[#This Row],[sector_id]] = data_scaledImpacts[sector] ) ) &gt; 0, VALUE( controlTables!F$47 ), "" )</f>
        <v/>
      </c>
    </row>
    <row r="67" spans="1:21" x14ac:dyDescent="0.3">
      <c r="B67" s="7">
        <f xml:space="preserve"> ROW( co_impactYears[[#This Row],[row_id]] ) - ROW(co_impactYears[[#Headers],[row_id]] )</f>
        <v>20</v>
      </c>
      <c r="C67" s="14" t="s">
        <v>983</v>
      </c>
      <c r="D67" s="62" t="str" cm="1">
        <f t="array" ref="D67" xml:space="preserve"> IF( SUMPRODUCT( --( VALUE( controlTables!E$47 ) = data_scaledImpacts[impactYear] ), --( co_impactYears[[#This Row],[sector_id]] = data_scaledImpacts[sector] ) ) &gt; 0, "", controlTables!D$47  )</f>
        <v>N/A</v>
      </c>
      <c r="E67" s="31" t="str" cm="1">
        <f t="array" ref="E67" xml:space="preserve"> IF( SUMPRODUCT( --( VALUE( controlTables!E$47 ) = data_scaledImpacts[impactYear] ), --( co_impactYears[[#This Row],[sector_id]] = data_scaledImpacts[sector] ) ) &gt; 0, VALUE( controlTables!E$47 ), "" )</f>
        <v/>
      </c>
      <c r="F67" s="62" t="str" cm="1">
        <f t="array" ref="F67" xml:space="preserve"> IF( SUMPRODUCT( --( VALUE( controlTables!F$47 ) = data_scaledImpacts[impactYear] ), --( co_impactYears[[#This Row],[sector_id]] = data_scaledImpacts[sector] ) ) &gt; 0, VALUE( controlTables!F$47 ), "" )</f>
        <v/>
      </c>
    </row>
    <row r="68" spans="1:21" x14ac:dyDescent="0.3">
      <c r="B68" s="7">
        <f xml:space="preserve"> ROW( co_impactYears[[#This Row],[row_id]] ) - ROW(co_impactYears[[#Headers],[row_id]] )</f>
        <v>21</v>
      </c>
      <c r="C68" s="14" t="s">
        <v>1306</v>
      </c>
      <c r="D68" s="62" t="str" cm="1">
        <f t="array" ref="D68" xml:space="preserve"> IF( SUMPRODUCT( --( VALUE( controlTables!E$47 ) = data_scaledImpacts[impactYear] ), --( co_impactYears[[#This Row],[sector_id]] = data_scaledImpacts[sector] ) ) &gt; 0, "", controlTables!D$47  )</f>
        <v>N/A</v>
      </c>
      <c r="E68" s="31" t="str" cm="1">
        <f t="array" ref="E68" xml:space="preserve"> IF( SUMPRODUCT( --( VALUE( controlTables!E$47 ) = data_scaledImpacts[impactYear] ), --( co_impactYears[[#This Row],[sector_id]] = data_scaledImpacts[sector] ) ) &gt; 0, VALUE( controlTables!E$47 ), "" )</f>
        <v/>
      </c>
      <c r="F68" s="62" t="str" cm="1">
        <f t="array" ref="F68" xml:space="preserve"> IF( SUMPRODUCT( --( VALUE( controlTables!F$47 ) = data_scaledImpacts[impactYear] ), --( co_impactYears[[#This Row],[sector_id]] = data_scaledImpacts[sector] ) ) &gt; 0, VALUE( controlTables!F$47 ), "" )</f>
        <v/>
      </c>
    </row>
    <row r="69" spans="1:21" x14ac:dyDescent="0.3">
      <c r="B69" s="7">
        <f xml:space="preserve"> ROW( co_impactYears[[#This Row],[row_id]] ) - ROW(co_impactYears[[#Headers],[row_id]] )</f>
        <v>22</v>
      </c>
      <c r="C69" s="14" t="s">
        <v>227</v>
      </c>
      <c r="D69" s="62" t="str" cm="1">
        <f t="array" ref="D69" xml:space="preserve"> IF( SUMPRODUCT( --( VALUE( controlTables!E$47 ) = data_scaledImpacts[impactYear] ), --( co_impactYears[[#This Row],[sector_id]] = data_scaledImpacts[sector] ) ) &gt; 0, "", controlTables!D$47  )</f>
        <v>N/A</v>
      </c>
      <c r="E69" s="31" t="str" cm="1">
        <f t="array" ref="E69" xml:space="preserve"> IF( SUMPRODUCT( --( VALUE( controlTables!E$47 ) = data_scaledImpacts[impactYear] ), --( co_impactYears[[#This Row],[sector_id]] = data_scaledImpacts[sector] ) ) &gt; 0, VALUE( controlTables!E$47 ), "" )</f>
        <v/>
      </c>
      <c r="F69" s="62" t="str" cm="1">
        <f t="array" ref="F69" xml:space="preserve"> IF( SUMPRODUCT( --( VALUE( controlTables!F$47 ) = data_scaledImpacts[impactYear] ), --( co_impactYears[[#This Row],[sector_id]] = data_scaledImpacts[sector] ) ) &gt; 0, VALUE( controlTables!F$47 ), "" )</f>
        <v/>
      </c>
    </row>
    <row r="70" spans="1:21" x14ac:dyDescent="0.3">
      <c r="B70" s="7">
        <f xml:space="preserve"> ROW( co_impactYears[[#This Row],[row_id]] ) - ROW(co_impactYears[[#Headers],[row_id]] )</f>
        <v>23</v>
      </c>
      <c r="C70" s="14" t="s">
        <v>761</v>
      </c>
      <c r="D70" s="62" t="str" cm="1">
        <f t="array" ref="D70" xml:space="preserve"> IF( SUMPRODUCT( --( VALUE( controlTables!E$47 ) = data_scaledImpacts[impactYear] ), --( co_impactYears[[#This Row],[sector_id]] = data_scaledImpacts[sector] ) ) &gt; 0, "", controlTables!D$47  )</f>
        <v>N/A</v>
      </c>
      <c r="E70" s="31" t="str" cm="1">
        <f t="array" ref="E70" xml:space="preserve"> IF( SUMPRODUCT( --( VALUE( controlTables!E$47 ) = data_scaledImpacts[impactYear] ), --( co_impactYears[[#This Row],[sector_id]] = data_scaledImpacts[sector] ) ) &gt; 0, VALUE( controlTables!E$47 ), "" )</f>
        <v/>
      </c>
      <c r="F70" s="62" t="str" cm="1">
        <f t="array" ref="F70" xml:space="preserve"> IF( SUMPRODUCT( --( VALUE( controlTables!F$47 ) = data_scaledImpacts[impactYear] ), --( co_impactYears[[#This Row],[sector_id]] = data_scaledImpacts[sector] ) ) &gt; 0, VALUE( controlTables!F$47 ), "" )</f>
        <v/>
      </c>
    </row>
    <row r="71" spans="1:21" x14ac:dyDescent="0.3">
      <c r="B71" s="7">
        <f xml:space="preserve"> ROW( co_impactYears[[#This Row],[row_id]] ) - ROW(co_impactYears[[#Headers],[row_id]] )</f>
        <v>24</v>
      </c>
      <c r="C71" s="14" t="s">
        <v>1088</v>
      </c>
      <c r="D71" s="62" t="str" cm="1">
        <f t="array" ref="D71" xml:space="preserve"> IF( SUMPRODUCT( --( VALUE( controlTables!E$47 ) = data_scaledImpacts[impactYear] ), --( co_impactYears[[#This Row],[sector_id]] = data_scaledImpacts[sector] ) ) &gt; 0, "", controlTables!D$47  )</f>
        <v>N/A</v>
      </c>
      <c r="E71" s="31" t="str" cm="1">
        <f t="array" ref="E71" xml:space="preserve"> IF( SUMPRODUCT( --( VALUE( controlTables!E$47 ) = data_scaledImpacts[impactYear] ), --( co_impactYears[[#This Row],[sector_id]] = data_scaledImpacts[sector] ) ) &gt; 0, VALUE( controlTables!E$47 ), "" )</f>
        <v/>
      </c>
      <c r="F71" s="62" t="str" cm="1">
        <f t="array" ref="F71" xml:space="preserve"> IF( SUMPRODUCT( --( VALUE( controlTables!F$47 ) = data_scaledImpacts[impactYear] ), --( co_impactYears[[#This Row],[sector_id]] = data_scaledImpacts[sector] ) ) &gt; 0, VALUE( controlTables!F$47 ), "" )</f>
        <v/>
      </c>
    </row>
    <row r="72" spans="1:21" x14ac:dyDescent="0.3">
      <c r="B72" s="7">
        <f xml:space="preserve"> ROW( co_impactYears[[#This Row],[row_id]] ) - ROW(co_impactYears[[#Headers],[row_id]] )</f>
        <v>25</v>
      </c>
      <c r="C72" s="14" t="s">
        <v>89</v>
      </c>
      <c r="D72" s="62" t="str" cm="1">
        <f t="array" ref="D72" xml:space="preserve"> IF( SUMPRODUCT( --( VALUE( controlTables!E$47 ) = data_scaledImpacts[impactYear] ), --( co_impactYears[[#This Row],[sector_id]] = data_scaledImpacts[sector] ) ) &gt; 0, "", controlTables!D$47  )</f>
        <v/>
      </c>
      <c r="E72" s="31" cm="1">
        <f t="array" ref="E72" xml:space="preserve"> IF( SUMPRODUCT( --( VALUE( controlTables!E$47 ) = data_scaledImpacts[impactYear] ), --( co_impactYears[[#This Row],[sector_id]] = data_scaledImpacts[sector] ) ) &gt; 0, VALUE( controlTables!E$47 ), "" )</f>
        <v>2010</v>
      </c>
      <c r="F72" s="62" cm="1">
        <f t="array" ref="F72" xml:space="preserve"> IF( SUMPRODUCT( --( VALUE( controlTables!F$47 ) = data_scaledImpacts[impactYear] ), --( co_impactYears[[#This Row],[sector_id]] = data_scaledImpacts[sector] ) ) &gt; 0, VALUE( controlTables!F$47 ), "" )</f>
        <v>2090</v>
      </c>
    </row>
    <row r="74" spans="1:21" ht="14.5" x14ac:dyDescent="0.35">
      <c r="A74" s="47"/>
      <c r="B74" s="48" t="s">
        <v>1238</v>
      </c>
      <c r="C74" s="48"/>
      <c r="D74" s="48"/>
      <c r="E74" s="48"/>
      <c r="F74" s="48"/>
      <c r="G74" s="48"/>
      <c r="H74" s="48"/>
      <c r="I74" s="48"/>
      <c r="J74" s="48"/>
      <c r="K74" s="48"/>
      <c r="L74" s="48"/>
      <c r="M74" s="48"/>
      <c r="N74" s="48"/>
      <c r="O74" s="48"/>
      <c r="P74" s="48"/>
      <c r="Q74" s="48"/>
      <c r="R74" s="48"/>
      <c r="S74" s="48"/>
      <c r="T74" s="48"/>
      <c r="U74" s="48"/>
    </row>
    <row r="75" spans="1:21" x14ac:dyDescent="0.3">
      <c r="B75" s="5" t="s">
        <v>1239</v>
      </c>
      <c r="C75" s="5"/>
      <c r="D75" s="5"/>
      <c r="E75" s="22"/>
      <c r="F75" s="5"/>
      <c r="G75" s="5"/>
      <c r="H75" s="5"/>
      <c r="I75" s="5"/>
      <c r="J75" s="5"/>
      <c r="K75" s="5"/>
    </row>
    <row r="76" spans="1:21" x14ac:dyDescent="0.3">
      <c r="B76" s="5" t="s">
        <v>1240</v>
      </c>
      <c r="C76" s="5"/>
      <c r="D76" s="5"/>
      <c r="E76" s="22"/>
      <c r="F76" s="5"/>
      <c r="G76" s="5"/>
      <c r="H76" s="5"/>
      <c r="I76" s="5"/>
      <c r="J76" s="5"/>
      <c r="K76" s="5"/>
    </row>
    <row r="77" spans="1:21" x14ac:dyDescent="0.3">
      <c r="B77" s="5" t="s">
        <v>1241</v>
      </c>
      <c r="C77" s="5"/>
      <c r="D77" s="5"/>
      <c r="E77" s="22"/>
      <c r="F77" s="5"/>
      <c r="G77" s="5"/>
      <c r="H77" s="5"/>
      <c r="I77" s="5"/>
      <c r="J77" s="5"/>
      <c r="K77" s="5"/>
    </row>
    <row r="78" spans="1:21" ht="14.5" x14ac:dyDescent="0.35">
      <c r="B78" s="78" t="s">
        <v>780</v>
      </c>
      <c r="C78" s="78" t="s">
        <v>219</v>
      </c>
      <c r="D78" s="78" t="s">
        <v>1242</v>
      </c>
      <c r="E78" s="78" t="s">
        <v>1243</v>
      </c>
      <c r="F78" s="81" t="s">
        <v>1244</v>
      </c>
      <c r="G78" s="62" t="s">
        <v>1017</v>
      </c>
      <c r="H78" s="62" t="s">
        <v>1018</v>
      </c>
      <c r="I78" s="60" t="s">
        <v>796</v>
      </c>
      <c r="J78" s="62" t="s">
        <v>919</v>
      </c>
      <c r="K78" s="60" t="s">
        <v>1262</v>
      </c>
      <c r="L78" s="8"/>
      <c r="M78" s="8"/>
      <c r="N78" s="8"/>
      <c r="O78" s="8"/>
      <c r="P78" s="8"/>
      <c r="Q78" s="8"/>
    </row>
    <row r="79" spans="1:21" ht="14.5" x14ac:dyDescent="0.35">
      <c r="B79" s="7">
        <f xml:space="preserve"> ROW( co_variants[[#This Row],[row_id]] ) - ROW( co_variants[[#Headers],[row_id]] )</f>
        <v>1</v>
      </c>
      <c r="C79" s="14" t="s">
        <v>559</v>
      </c>
      <c r="D79" s="57" t="s">
        <v>773</v>
      </c>
      <c r="E79" s="83">
        <v>2011</v>
      </c>
      <c r="F79" s="83">
        <v>2011</v>
      </c>
      <c r="G79" s="58">
        <v>1</v>
      </c>
      <c r="H79" s="58">
        <v>1</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1</v>
      </c>
      <c r="L79"/>
      <c r="M79"/>
      <c r="N79"/>
      <c r="O79"/>
    </row>
    <row r="80" spans="1:21" ht="14.5" x14ac:dyDescent="0.35">
      <c r="B80" s="7">
        <f xml:space="preserve"> ROW( co_variants[[#This Row],[row_id]] ) - ROW( co_variants[[#Headers],[row_id]] )</f>
        <v>2</v>
      </c>
      <c r="C80" s="14" t="s">
        <v>559</v>
      </c>
      <c r="D80" s="57" t="s">
        <v>945</v>
      </c>
      <c r="E80" s="83">
        <v>2040</v>
      </c>
      <c r="F80" s="83">
        <v>2040</v>
      </c>
      <c r="G80" s="58">
        <v>0</v>
      </c>
      <c r="H80" s="58">
        <v>0</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1</v>
      </c>
      <c r="L80"/>
      <c r="M80"/>
      <c r="N80"/>
      <c r="O80"/>
    </row>
    <row r="81" spans="2:15" ht="14.5" x14ac:dyDescent="0.35">
      <c r="B81" s="7">
        <f xml:space="preserve"> ROW( co_variants[[#This Row],[row_id]] ) - ROW( co_variants[[#Headers],[row_id]] )</f>
        <v>3</v>
      </c>
      <c r="C81" s="14" t="s">
        <v>1005</v>
      </c>
      <c r="D81" s="57" t="s">
        <v>201</v>
      </c>
      <c r="E81" s="83" t="s">
        <v>927</v>
      </c>
      <c r="F81" s="83" t="s">
        <v>201</v>
      </c>
      <c r="G81" s="58">
        <v>1</v>
      </c>
      <c r="H81" s="58">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4</v>
      </c>
      <c r="C82" s="14" t="s">
        <v>1248</v>
      </c>
      <c r="D82" s="57" t="s">
        <v>1259</v>
      </c>
      <c r="E82" s="83" t="s">
        <v>1249</v>
      </c>
      <c r="F82" s="112" t="s">
        <v>1249</v>
      </c>
      <c r="G82" s="97">
        <v>1</v>
      </c>
      <c r="H82" s="97">
        <v>1</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5</v>
      </c>
      <c r="C83" s="14" t="s">
        <v>1248</v>
      </c>
      <c r="D83" s="57" t="s">
        <v>1260</v>
      </c>
      <c r="E83" s="83" t="s">
        <v>1267</v>
      </c>
      <c r="F83" s="112" t="s">
        <v>1257</v>
      </c>
      <c r="G83" s="97">
        <v>0</v>
      </c>
      <c r="H83" s="97">
        <v>0</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0</v>
      </c>
      <c r="L83"/>
      <c r="M83"/>
      <c r="N83"/>
      <c r="O83"/>
    </row>
    <row r="84" spans="2:15" ht="14.5" x14ac:dyDescent="0.35">
      <c r="B84" s="7">
        <f xml:space="preserve"> ROW( co_variants[[#This Row],[row_id]] ) - ROW( co_variants[[#Headers],[row_id]] )</f>
        <v>6</v>
      </c>
      <c r="C84" s="14" t="s">
        <v>1248</v>
      </c>
      <c r="D84" s="57" t="s">
        <v>1261</v>
      </c>
      <c r="E84" s="83" t="s">
        <v>1268</v>
      </c>
      <c r="F84" s="112" t="s">
        <v>1258</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0</v>
      </c>
      <c r="L84"/>
      <c r="M84"/>
      <c r="N84"/>
      <c r="O84"/>
    </row>
    <row r="85" spans="2:15" ht="14.5" x14ac:dyDescent="0.35">
      <c r="B85" s="7">
        <f xml:space="preserve"> ROW( co_variants[[#This Row],[row_id]] ) - ROW( co_variants[[#Headers],[row_id]] )</f>
        <v>7</v>
      </c>
      <c r="C85" s="14" t="s">
        <v>1229</v>
      </c>
      <c r="D85" s="83" t="s">
        <v>1165</v>
      </c>
      <c r="E85" s="83" t="s">
        <v>1220</v>
      </c>
      <c r="F85" s="83" t="s">
        <v>1165</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8</v>
      </c>
      <c r="C86" s="14" t="s">
        <v>1229</v>
      </c>
      <c r="D86" s="83" t="s">
        <v>1164</v>
      </c>
      <c r="E86" s="83" t="s">
        <v>1221</v>
      </c>
      <c r="F86" s="83" t="s">
        <v>1164</v>
      </c>
      <c r="G86" s="97">
        <v>0</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1</v>
      </c>
      <c r="L86"/>
      <c r="M86"/>
      <c r="N86"/>
      <c r="O86"/>
    </row>
    <row r="87" spans="2:15" ht="14.5" x14ac:dyDescent="0.35">
      <c r="B87" s="7">
        <f xml:space="preserve"> ROW( co_variants[[#This Row],[row_id]] ) - ROW( co_variants[[#Headers],[row_id]] )</f>
        <v>9</v>
      </c>
      <c r="C87" s="14" t="s">
        <v>1230</v>
      </c>
      <c r="D87" s="57" t="s">
        <v>201</v>
      </c>
      <c r="E87" s="83" t="s">
        <v>927</v>
      </c>
      <c r="F87" s="112" t="s">
        <v>201</v>
      </c>
      <c r="G87" s="97">
        <v>1</v>
      </c>
      <c r="H87" s="97">
        <v>1</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1</v>
      </c>
      <c r="L87"/>
      <c r="M87"/>
      <c r="N87"/>
      <c r="O87"/>
    </row>
    <row r="88" spans="2:15" ht="14.5" x14ac:dyDescent="0.35">
      <c r="B88" s="7">
        <f xml:space="preserve"> ROW( co_variants[[#This Row],[row_id]] ) - ROW( co_variants[[#Headers],[row_id]] )</f>
        <v>10</v>
      </c>
      <c r="C88" s="14" t="s">
        <v>1159</v>
      </c>
      <c r="D88" s="57" t="s">
        <v>1265</v>
      </c>
      <c r="E88" s="83" t="s">
        <v>1264</v>
      </c>
      <c r="F88" s="83" t="s">
        <v>1264</v>
      </c>
      <c r="G88" s="97">
        <v>1</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11</v>
      </c>
      <c r="C89" s="14" t="s">
        <v>1159</v>
      </c>
      <c r="D89" s="57" t="s">
        <v>1260</v>
      </c>
      <c r="E89" s="83" t="s">
        <v>1267</v>
      </c>
      <c r="F89" s="83" t="s">
        <v>1257</v>
      </c>
      <c r="G89" s="97">
        <v>0</v>
      </c>
      <c r="H89" s="97">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1</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12</v>
      </c>
      <c r="C90" s="14" t="s">
        <v>1159</v>
      </c>
      <c r="D90" s="57" t="s">
        <v>1261</v>
      </c>
      <c r="E90" s="83" t="s">
        <v>1268</v>
      </c>
      <c r="F90" s="83" t="s">
        <v>1258</v>
      </c>
      <c r="G90" s="97">
        <v>0</v>
      </c>
      <c r="H90" s="97">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1</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13</v>
      </c>
      <c r="C91" s="14" t="s">
        <v>86</v>
      </c>
      <c r="D91" s="57" t="s">
        <v>776</v>
      </c>
      <c r="E91" s="83" t="s">
        <v>87</v>
      </c>
      <c r="F91" s="112" t="s">
        <v>87</v>
      </c>
      <c r="G91" s="58">
        <v>0</v>
      </c>
      <c r="H91" s="58">
        <v>0</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14</v>
      </c>
      <c r="C92" s="14" t="s">
        <v>86</v>
      </c>
      <c r="D92" s="57" t="s">
        <v>777</v>
      </c>
      <c r="E92" s="112" t="s">
        <v>208</v>
      </c>
      <c r="F92" s="112" t="s">
        <v>208</v>
      </c>
      <c r="G92" s="58">
        <v>0</v>
      </c>
      <c r="H92" s="58">
        <v>0</v>
      </c>
      <c r="I92" s="82" t="str">
        <f xml:space="preserve"> INDEX( co_impactTypes[damageAdjName], MATCH( co_variants[[#This Row],[sector_id]], co_impactTypes[sector_id], 0 ) ) &amp;
   IF( co_variants[[#This Row],[sector_id]] = "Roads", IF( co_variants[[#This Row],[variant_id_excel]] = "Proactive", "_proactive", "_other" ), "" )</f>
        <v>none</v>
      </c>
      <c r="J92" s="65" cm="1">
        <f t="array" ref="J92" xml:space="preserve"> --( SUMPRODUCT( --( co_variants[[#This Row],[sector_id]] = data_scaledImpacts[sector] ), --( co_variants[[#This Row],[variant_id_excel]] = data_scaledImpacts[variant] ) ) &gt; 1 )</f>
        <v>0</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15</v>
      </c>
      <c r="C93" s="14" t="s">
        <v>86</v>
      </c>
      <c r="D93" s="57" t="s">
        <v>778</v>
      </c>
      <c r="E93" s="112" t="s">
        <v>88</v>
      </c>
      <c r="F93" s="112" t="s">
        <v>88</v>
      </c>
      <c r="G93" s="58">
        <v>1</v>
      </c>
      <c r="H93" s="58">
        <v>1</v>
      </c>
      <c r="I93" s="82" t="str">
        <f xml:space="preserve"> INDEX( co_impactTypes[damageAdjName], MATCH( co_variants[[#This Row],[sector_id]], co_impactTypes[sector_id], 0 ) ) &amp;
   IF( co_variants[[#This Row],[sector_id]] = "Roads", IF( co_variants[[#This Row],[variant_id_excel]] = "Proactive", "_proactive", "_other" ), "" )</f>
        <v>none</v>
      </c>
      <c r="J93" s="65" cm="1">
        <f t="array" ref="J93" xml:space="preserve"> --( SUMPRODUCT( --( co_variants[[#This Row],[sector_id]] = data_scaledImpacts[sector] ), --( co_variants[[#This Row],[variant_id_excel]] = data_scaledImpacts[variant] ) ) &gt; 1 )</f>
        <v>0</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16</v>
      </c>
      <c r="C94" s="14" t="s">
        <v>220</v>
      </c>
      <c r="D94" s="57" t="s">
        <v>201</v>
      </c>
      <c r="E94" s="83" t="s">
        <v>927</v>
      </c>
      <c r="F94" s="112" t="s">
        <v>201</v>
      </c>
      <c r="G94" s="58">
        <v>1</v>
      </c>
      <c r="H94" s="58">
        <v>1</v>
      </c>
      <c r="I94" s="82" t="str">
        <f xml:space="preserve"> INDEX( co_impactTypes[damageAdjName], MATCH( co_variants[[#This Row],[sector_id]], co_impactTypes[sector_id], 0 ) ) &amp;
   IF( co_variants[[#This Row],[sector_id]] = "Roads", IF( co_variants[[#This Row],[variant_id_excel]] = "Proactive", "_proactive", "_other" ), "" )</f>
        <v>elecSD_refCosts</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17</v>
      </c>
      <c r="C95" s="14" t="s">
        <v>1002</v>
      </c>
      <c r="D95" s="57" t="s">
        <v>776</v>
      </c>
      <c r="E95" s="83" t="s">
        <v>87</v>
      </c>
      <c r="F95" s="112" t="s">
        <v>87</v>
      </c>
      <c r="G95" s="58">
        <v>0</v>
      </c>
      <c r="H95" s="58">
        <v>0</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18</v>
      </c>
      <c r="C96" s="14" t="s">
        <v>1002</v>
      </c>
      <c r="D96" s="57" t="s">
        <v>777</v>
      </c>
      <c r="E96" s="112" t="s">
        <v>208</v>
      </c>
      <c r="F96" s="112" t="s">
        <v>208</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elecTD_growthFactor</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0</v>
      </c>
      <c r="L96"/>
      <c r="M96"/>
      <c r="N96"/>
      <c r="O96"/>
    </row>
    <row r="97" spans="2:15" ht="14.5" x14ac:dyDescent="0.35">
      <c r="B97" s="7">
        <f xml:space="preserve"> ROW( co_variants[[#This Row],[row_id]] ) - ROW( co_variants[[#Headers],[row_id]] )</f>
        <v>19</v>
      </c>
      <c r="C97" s="14" t="s">
        <v>1002</v>
      </c>
      <c r="D97" s="57" t="s">
        <v>778</v>
      </c>
      <c r="E97" s="112" t="s">
        <v>88</v>
      </c>
      <c r="F97" s="112" t="s">
        <v>88</v>
      </c>
      <c r="G97" s="58">
        <v>1</v>
      </c>
      <c r="H97" s="58">
        <v>1</v>
      </c>
      <c r="I97" s="82" t="str">
        <f xml:space="preserve"> INDEX( co_impactTypes[damageAdjName], MATCH( co_variants[[#This Row],[sector_id]], co_impactTypes[sector_id], 0 ) ) &amp;
   IF( co_variants[[#This Row],[sector_id]] = "Roads", IF( co_variants[[#This Row],[variant_id_excel]] = "Proactive", "_proactive", "_other" ), "" )</f>
        <v>elecTD_growthFactor</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0</v>
      </c>
      <c r="L97"/>
      <c r="M97"/>
      <c r="N97"/>
      <c r="O97"/>
    </row>
    <row r="98" spans="2:15" ht="14.5" x14ac:dyDescent="0.35">
      <c r="B98" s="7">
        <f xml:space="preserve"> ROW( co_variants[[#This Row],[row_id]] ) - ROW( co_variants[[#Headers],[row_id]] )</f>
        <v>20</v>
      </c>
      <c r="C98" s="14" t="s">
        <v>17</v>
      </c>
      <c r="D98" s="57" t="s">
        <v>774</v>
      </c>
      <c r="E98" s="83" t="s">
        <v>928</v>
      </c>
      <c r="F98" s="112" t="s">
        <v>774</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1</v>
      </c>
      <c r="K98" s="65" cm="1">
        <f t="array" ref="K98" xml:space="preserve"> --( SUMPRODUCT( --( co_impactTypes[sector_id] = co_variants[[#This Row],[sector_id]] ) ) &gt; 1 )</f>
        <v>1</v>
      </c>
      <c r="L98"/>
      <c r="M98"/>
      <c r="N98"/>
      <c r="O98"/>
    </row>
    <row r="99" spans="2:15" ht="14.5" x14ac:dyDescent="0.35">
      <c r="B99" s="7">
        <f xml:space="preserve"> ROW( co_variants[[#This Row],[row_id]] ) - ROW( co_variants[[#Headers],[row_id]] )</f>
        <v>21</v>
      </c>
      <c r="C99" s="14" t="s">
        <v>17</v>
      </c>
      <c r="D99" s="57" t="s">
        <v>776</v>
      </c>
      <c r="E99" s="83" t="s">
        <v>87</v>
      </c>
      <c r="F99" s="112" t="s">
        <v>776</v>
      </c>
      <c r="G99" s="58">
        <v>1</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1</v>
      </c>
      <c r="K99" s="65" cm="1">
        <f t="array" ref="K99" xml:space="preserve"> --( SUMPRODUCT( --( co_impactTypes[sector_id] = co_variants[[#This Row],[sector_id]] ) ) &gt; 1 )</f>
        <v>1</v>
      </c>
      <c r="L99"/>
      <c r="M99"/>
      <c r="N99"/>
      <c r="O99"/>
    </row>
    <row r="100" spans="2:15" ht="14.5" x14ac:dyDescent="0.35">
      <c r="B100" s="7">
        <f xml:space="preserve"> ROW( co_variants[[#This Row],[row_id]] ) - ROW( co_variants[[#Headers],[row_id]] )</f>
        <v>22</v>
      </c>
      <c r="C100" s="14" t="s">
        <v>221</v>
      </c>
      <c r="D100" s="57" t="s">
        <v>775</v>
      </c>
      <c r="E100" s="83" t="s">
        <v>231</v>
      </c>
      <c r="F100" s="112" t="s">
        <v>208</v>
      </c>
      <c r="G100" s="58">
        <v>0</v>
      </c>
      <c r="H100" s="58">
        <v>0</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23</v>
      </c>
      <c r="C101" s="14" t="s">
        <v>221</v>
      </c>
      <c r="D101" s="57" t="s">
        <v>776</v>
      </c>
      <c r="E101" s="83" t="s">
        <v>87</v>
      </c>
      <c r="F101" s="112" t="s">
        <v>87</v>
      </c>
      <c r="G101" s="58">
        <v>0</v>
      </c>
      <c r="H101" s="58">
        <v>0</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0</v>
      </c>
      <c r="K101" s="65" cm="1">
        <f t="array" ref="K101" xml:space="preserve"> --( SUMPRODUCT( --( co_impactTypes[sector_id] = co_variants[[#This Row],[sector_id]] ) ) &gt; 1 )</f>
        <v>0</v>
      </c>
      <c r="L101"/>
      <c r="M101"/>
      <c r="N101"/>
      <c r="O101"/>
    </row>
    <row r="102" spans="2:15" ht="21" x14ac:dyDescent="0.35">
      <c r="B102" s="7">
        <f xml:space="preserve"> ROW( co_variants[[#This Row],[row_id]] ) - ROW( co_variants[[#Headers],[row_id]] )</f>
        <v>24</v>
      </c>
      <c r="C102" s="14" t="s">
        <v>221</v>
      </c>
      <c r="D102" s="57" t="s">
        <v>779</v>
      </c>
      <c r="E102" s="112" t="s">
        <v>230</v>
      </c>
      <c r="F102" s="112" t="s">
        <v>88</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0</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25</v>
      </c>
      <c r="C103" s="14" t="s">
        <v>84</v>
      </c>
      <c r="D103" s="57" t="s">
        <v>201</v>
      </c>
      <c r="E103" s="83" t="s">
        <v>927</v>
      </c>
      <c r="F103" s="112" t="s">
        <v>201</v>
      </c>
      <c r="G103" s="58">
        <v>1</v>
      </c>
      <c r="H103" s="58">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26</v>
      </c>
      <c r="C104" s="14" t="s">
        <v>34</v>
      </c>
      <c r="D104" s="57" t="s">
        <v>201</v>
      </c>
      <c r="E104" s="83" t="s">
        <v>927</v>
      </c>
      <c r="F104" s="112" t="s">
        <v>201</v>
      </c>
      <c r="G104" s="58">
        <v>1</v>
      </c>
      <c r="H104" s="58">
        <v>1</v>
      </c>
      <c r="I104" s="82" t="str">
        <f xml:space="preserve"> INDEX( co_impactTypes[damageAdjName], MATCH( co_variants[[#This Row],[sector_id]], co_impactTypes[sector_id], 0 ) ) &amp;
   IF( co_variants[[#This Row],[sector_id]] = "Roads", IF( co_variants[[#This Row],[variant_id_excel]] = "Proactive", "_proactive", "_other" ), "" )</f>
        <v>none</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27</v>
      </c>
      <c r="C105" s="14" t="s">
        <v>223</v>
      </c>
      <c r="D105" s="57" t="s">
        <v>201</v>
      </c>
      <c r="E105" s="83" t="s">
        <v>927</v>
      </c>
      <c r="F105" s="112" t="s">
        <v>201</v>
      </c>
      <c r="G105" s="97">
        <v>1</v>
      </c>
      <c r="H105" s="97">
        <v>1</v>
      </c>
      <c r="I105" s="82" t="str">
        <f xml:space="preserve"> INDEX( co_impactTypes[damageAdjName], MATCH( co_variants[[#This Row],[sector_id]], co_impactTypes[sector_id], 0 ) ) &amp;
   IF( co_variants[[#This Row],[sector_id]] = "Roads", IF( co_variants[[#This Row],[variant_id_excel]] = "Proactive", "_proactive", "_other" ), "" )</f>
        <v>none</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138">
        <f xml:space="preserve"> ROW( co_variants[[#This Row],[row_id]] ) - ROW( co_variants[[#Headers],[row_id]] )</f>
        <v>28</v>
      </c>
      <c r="C106" s="14" t="s">
        <v>1313</v>
      </c>
      <c r="D106" s="57" t="s">
        <v>201</v>
      </c>
      <c r="E106" s="83" t="s">
        <v>927</v>
      </c>
      <c r="F106" s="112" t="s">
        <v>201</v>
      </c>
      <c r="G106" s="97">
        <v>1</v>
      </c>
      <c r="H106" s="97">
        <v>1</v>
      </c>
      <c r="I106" s="139" t="str">
        <f xml:space="preserve"> INDEX( co_impactTypes[damageAdjName], MATCH( co_variants[[#This Row],[sector_id]], co_impactTypes[sector_id], 0 ) ) &amp;
   IF( co_variants[[#This Row],[sector_id]] = "Roads", IF( co_variants[[#This Row],[variant_id_excel]] = "Proactive", "_proactive", "_other" ), "" )</f>
        <v>none</v>
      </c>
      <c r="J106" s="140" cm="1">
        <f t="array" ref="J106" xml:space="preserve"> --( SUMPRODUCT( --( co_variants[[#This Row],[sector_id]] = data_scaledImpacts[sector] ), --( co_variants[[#This Row],[variant_id_excel]] = data_scaledImpacts[variant] ) ) &gt; 1 )</f>
        <v>1</v>
      </c>
      <c r="K106" s="140"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29</v>
      </c>
      <c r="C107" s="14" t="s">
        <v>209</v>
      </c>
      <c r="D107" s="57" t="s">
        <v>776</v>
      </c>
      <c r="E107" s="83" t="s">
        <v>87</v>
      </c>
      <c r="F107" s="112" t="s">
        <v>776</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rail_growth_factor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30</v>
      </c>
      <c r="C108" s="14" t="s">
        <v>209</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rail_growth_factor</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31</v>
      </c>
      <c r="C109" s="14" t="s">
        <v>209</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rail_growth_factor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32</v>
      </c>
      <c r="C110" s="14" t="s">
        <v>216</v>
      </c>
      <c r="D110" s="57" t="s">
        <v>776</v>
      </c>
      <c r="E110" s="83" t="s">
        <v>87</v>
      </c>
      <c r="F110" s="112" t="s">
        <v>889</v>
      </c>
      <c r="G110" s="58">
        <v>0</v>
      </c>
      <c r="H110" s="58">
        <v>0</v>
      </c>
      <c r="I110" s="82" t="str">
        <f xml:space="preserve"> INDEX( co_impactTypes[damageAdjName], MATCH( co_variants[[#This Row],[sector_id]], co_impactTypes[sector_id], 0 ) ) &amp;
   IF( co_variants[[#This Row],[sector_id]] = "Roads", IF( co_variants[[#This Row],[variant_id_excel]] = "Proactive", "_proactive", "_other" ), "" )</f>
        <v>road_miles_and_pop_other</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0</v>
      </c>
      <c r="L110"/>
      <c r="M110"/>
      <c r="N110"/>
      <c r="O110"/>
    </row>
    <row r="111" spans="2:15" ht="14.5" x14ac:dyDescent="0.35">
      <c r="B111" s="7">
        <f xml:space="preserve"> ROW( co_variants[[#This Row],[row_id]] ) - ROW( co_variants[[#Headers],[row_id]] )</f>
        <v>33</v>
      </c>
      <c r="C111" s="14" t="s">
        <v>216</v>
      </c>
      <c r="D111" s="57" t="s">
        <v>777</v>
      </c>
      <c r="E111" s="112" t="s">
        <v>208</v>
      </c>
      <c r="F111" s="112" t="s">
        <v>208</v>
      </c>
      <c r="G111" s="58">
        <v>0</v>
      </c>
      <c r="H111" s="58">
        <v>0</v>
      </c>
      <c r="I111" s="82" t="str">
        <f xml:space="preserve"> INDEX( co_impactTypes[damageAdjName], MATCH( co_variants[[#This Row],[sector_id]], co_impactTypes[sector_id], 0 ) ) &amp;
   IF( co_variants[[#This Row],[sector_id]] = "Roads", IF( co_variants[[#This Row],[variant_id_excel]] = "Proactive", "_proactive", "_other" ), "" )</f>
        <v>road_miles_and_pop_proactive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34</v>
      </c>
      <c r="C112" s="14" t="s">
        <v>216</v>
      </c>
      <c r="D112" s="57" t="s">
        <v>778</v>
      </c>
      <c r="E112" s="112" t="s">
        <v>88</v>
      </c>
      <c r="F112" s="112" t="s">
        <v>88</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road_miles_and_pop_other</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0</v>
      </c>
      <c r="L112"/>
      <c r="M112"/>
      <c r="N112"/>
      <c r="O112"/>
    </row>
    <row r="113" spans="1:21" ht="14.5" x14ac:dyDescent="0.35">
      <c r="B113" s="7">
        <f xml:space="preserve"> ROW( co_variants[[#This Row],[row_id]] ) - ROW( co_variants[[#Headers],[row_id]] )</f>
        <v>35</v>
      </c>
      <c r="C113" s="14" t="s">
        <v>85</v>
      </c>
      <c r="D113" s="57" t="s">
        <v>201</v>
      </c>
      <c r="E113" s="83" t="s">
        <v>927</v>
      </c>
      <c r="F113" s="112" t="s">
        <v>201</v>
      </c>
      <c r="G113" s="58">
        <v>1</v>
      </c>
      <c r="H113" s="58">
        <v>1</v>
      </c>
      <c r="I113" s="82" t="str">
        <f xml:space="preserve"> INDEX( co_impactTypes[damageAdjName], MATCH( co_variants[[#This Row],[sector_id]], co_impactTypes[sector_id], 0 ) ) &amp;
   IF( co_variants[[#This Row],[sector_id]] = "Roads", IF( co_variants[[#This Row],[variant_id_excel]] = "Proactive", "_proactive", "_other" ), "" )</f>
        <v>none</v>
      </c>
      <c r="J113" s="65" cm="1">
        <f t="array" ref="J113" xml:space="preserve"> --( SUMPRODUCT( --( co_variants[[#This Row],[sector_id]] = data_scaledImpacts[sector] ), --( co_variants[[#This Row],[variant_id_excel]] = data_scaledImpacts[variant] ) ) &gt; 1 )</f>
        <v>1</v>
      </c>
      <c r="K113" s="65"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36</v>
      </c>
      <c r="C114" s="14" t="s">
        <v>225</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37</v>
      </c>
      <c r="C115" s="14" t="s">
        <v>983</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38</v>
      </c>
      <c r="C116" s="14" t="s">
        <v>1306</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1</v>
      </c>
      <c r="L116"/>
      <c r="M116"/>
      <c r="N116"/>
      <c r="O116"/>
    </row>
    <row r="117" spans="1:21" ht="14.5" x14ac:dyDescent="0.35">
      <c r="B117" s="7">
        <f xml:space="preserve"> ROW( co_variants[[#This Row],[row_id]] ) - ROW( co_variants[[#Headers],[row_id]] )</f>
        <v>39</v>
      </c>
      <c r="C117" s="14" t="s">
        <v>227</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0</v>
      </c>
      <c r="L117"/>
      <c r="M117"/>
      <c r="N117"/>
      <c r="O117"/>
    </row>
    <row r="118" spans="1:21" ht="14.5" x14ac:dyDescent="0.35">
      <c r="B118" s="7">
        <f xml:space="preserve"> ROW( co_variants[[#This Row],[row_id]] ) - ROW( co_variants[[#Headers],[row_id]] )</f>
        <v>40</v>
      </c>
      <c r="C118" s="14" t="s">
        <v>761</v>
      </c>
      <c r="D118" s="57" t="s">
        <v>201</v>
      </c>
      <c r="E118" s="83" t="s">
        <v>927</v>
      </c>
      <c r="F118" s="112" t="s">
        <v>201</v>
      </c>
      <c r="G118" s="58">
        <v>1</v>
      </c>
      <c r="H118" s="58">
        <v>1</v>
      </c>
      <c r="I118" s="82" t="str">
        <f xml:space="preserve"> INDEX( co_impactTypes[damageAdjName], MATCH( co_variants[[#This Row],[sector_id]], co_impactTypes[sector_id], 0 ) ) &amp;
   IF( co_variants[[#This Row],[sector_id]] = "Roads", IF( co_variants[[#This Row],[variant_id_excel]] = "Proactive", "_proactive", "_other" ), "" )</f>
        <v>none</v>
      </c>
      <c r="J118" s="65" cm="1">
        <f t="array" ref="J118" xml:space="preserve"> --( SUMPRODUCT( --( co_variants[[#This Row],[sector_id]] = data_scaledImpacts[sector] ), --( co_variants[[#This Row],[variant_id_excel]] = data_scaledImpacts[variant] ) ) &gt; 1 )</f>
        <v>1</v>
      </c>
      <c r="K118" s="65" cm="1">
        <f t="array" ref="K118" xml:space="preserve"> --( SUMPRODUCT( --( co_impactTypes[sector_id] = co_variants[[#This Row],[sector_id]] ) ) &gt; 1 )</f>
        <v>1</v>
      </c>
      <c r="L118"/>
      <c r="M118"/>
      <c r="N118"/>
      <c r="O118"/>
    </row>
    <row r="119" spans="1:21" ht="14.5" x14ac:dyDescent="0.35">
      <c r="B119" s="7">
        <f xml:space="preserve"> ROW( co_variants[[#This Row],[row_id]] ) - ROW( co_variants[[#Headers],[row_id]] )</f>
        <v>41</v>
      </c>
      <c r="C119" s="14" t="s">
        <v>1088</v>
      </c>
      <c r="D119" s="57" t="s">
        <v>201</v>
      </c>
      <c r="E119" s="83" t="s">
        <v>927</v>
      </c>
      <c r="F119" s="112" t="s">
        <v>201</v>
      </c>
      <c r="G119" s="97">
        <v>1</v>
      </c>
      <c r="H119" s="97">
        <v>1</v>
      </c>
      <c r="I119" s="82" t="str">
        <f xml:space="preserve"> INDEX( co_impactTypes[damageAdjName], MATCH( co_variants[[#This Row],[sector_id]], co_impactTypes[sector_id], 0 ) ) &amp;
   IF( co_variants[[#This Row],[sector_id]] = "Roads", IF( co_variants[[#This Row],[variant_id_excel]] = "Proactive", "_proactive", "_other" ), "" )</f>
        <v>none</v>
      </c>
      <c r="J119" s="65" cm="1">
        <f t="array" ref="J119" xml:space="preserve"> --( SUMPRODUCT( --( co_variants[[#This Row],[sector_id]] = data_scaledImpacts[sector] ), --( co_variants[[#This Row],[variant_id_excel]] = data_scaledImpacts[variant] ) ) &gt; 1 )</f>
        <v>1</v>
      </c>
      <c r="K119" s="65" cm="1">
        <f t="array" ref="K119" xml:space="preserve"> --( SUMPRODUCT( --( co_impactTypes[sector_id] = co_variants[[#This Row],[sector_id]] ) ) &gt; 1 )</f>
        <v>0</v>
      </c>
      <c r="L119"/>
      <c r="M119"/>
      <c r="N119"/>
      <c r="O119"/>
    </row>
    <row r="120" spans="1:21" ht="14.5" x14ac:dyDescent="0.35">
      <c r="B120" s="7">
        <f xml:space="preserve"> ROW( co_variants[[#This Row],[row_id]] ) - ROW( co_variants[[#Headers],[row_id]] )</f>
        <v>42</v>
      </c>
      <c r="C120" s="14" t="s">
        <v>89</v>
      </c>
      <c r="D120" s="57" t="s">
        <v>201</v>
      </c>
      <c r="E120" s="83" t="s">
        <v>927</v>
      </c>
      <c r="F120" s="112" t="s">
        <v>201</v>
      </c>
      <c r="G120" s="58">
        <v>1</v>
      </c>
      <c r="H120" s="58">
        <v>1</v>
      </c>
      <c r="I120" s="82" t="str">
        <f xml:space="preserve"> INDEX( co_impactTypes[damageAdjName], MATCH( co_variants[[#This Row],[sector_id]], co_impactTypes[sector_id], 0 ) ) &amp;
   IF( co_variants[[#This Row],[sector_id]] = "Roads", IF( co_variants[[#This Row],[variant_id_excel]] = "Proactive", "_proactive", "_other" ), "" )</f>
        <v>none</v>
      </c>
      <c r="J120" s="65" cm="1">
        <f t="array" ref="J120" xml:space="preserve"> --( SUMPRODUCT( --( co_variants[[#This Row],[sector_id]] = data_scaledImpacts[sector] ), --( co_variants[[#This Row],[variant_id_excel]] = data_scaledImpacts[variant] ) ) &gt; 1 )</f>
        <v>1</v>
      </c>
      <c r="K120" s="65" cm="1">
        <f t="array" ref="K120" xml:space="preserve"> --( SUMPRODUCT( --( co_impactTypes[sector_id] = co_variants[[#This Row],[sector_id]] ) ) &gt; 1 )</f>
        <v>1</v>
      </c>
      <c r="L120"/>
      <c r="M120"/>
      <c r="N120"/>
      <c r="O120"/>
    </row>
    <row r="122" spans="1:21" ht="14.5" x14ac:dyDescent="0.35">
      <c r="A122" s="47"/>
      <c r="B122" s="48" t="s">
        <v>200</v>
      </c>
      <c r="C122" s="48"/>
      <c r="D122" s="48"/>
      <c r="E122" s="48"/>
      <c r="F122" s="48"/>
      <c r="G122" s="48"/>
      <c r="H122" s="48"/>
      <c r="I122" s="48"/>
      <c r="J122" s="48"/>
      <c r="K122" s="48"/>
      <c r="L122" s="48"/>
      <c r="M122" s="48"/>
      <c r="N122" s="48"/>
      <c r="O122" s="48"/>
      <c r="P122" s="48"/>
      <c r="Q122" s="48"/>
      <c r="R122" s="48"/>
      <c r="S122" s="48"/>
      <c r="T122" s="48"/>
      <c r="U122" s="48"/>
    </row>
    <row r="123" spans="1:21" x14ac:dyDescent="0.3">
      <c r="B123" s="5" t="s">
        <v>1222</v>
      </c>
    </row>
    <row r="124" spans="1:21" x14ac:dyDescent="0.3">
      <c r="B124" s="60" t="s">
        <v>780</v>
      </c>
      <c r="C124" s="60" t="s">
        <v>219</v>
      </c>
      <c r="D124" s="60" t="s">
        <v>931</v>
      </c>
      <c r="E124" s="61" t="s">
        <v>932</v>
      </c>
      <c r="F124" s="60" t="s">
        <v>935</v>
      </c>
      <c r="G124" s="60" t="s">
        <v>933</v>
      </c>
      <c r="H124" s="60" t="s">
        <v>1019</v>
      </c>
      <c r="I124" s="60" t="s">
        <v>792</v>
      </c>
      <c r="J124" s="60" t="s">
        <v>794</v>
      </c>
      <c r="K124" s="60" t="s">
        <v>796</v>
      </c>
      <c r="L124" s="60" t="s">
        <v>262</v>
      </c>
      <c r="M124" s="60" t="s">
        <v>917</v>
      </c>
      <c r="N124" s="62" t="s">
        <v>763</v>
      </c>
      <c r="O124" s="62" t="s">
        <v>764</v>
      </c>
      <c r="P124" s="62" t="s">
        <v>765</v>
      </c>
      <c r="Q124" s="62" t="s">
        <v>766</v>
      </c>
      <c r="R124" s="62" t="s">
        <v>919</v>
      </c>
      <c r="S124" s="62" t="s">
        <v>1012</v>
      </c>
      <c r="T124" s="62" t="s">
        <v>1013</v>
      </c>
      <c r="U124" s="62" t="s">
        <v>1014</v>
      </c>
    </row>
    <row r="125" spans="1:21" x14ac:dyDescent="0.3">
      <c r="B125" s="7">
        <f xml:space="preserve"> ROW( co_impactTypes[[#This Row],[row_id]] ) - ROW(co_impactTypes[[#Headers],[row_id]] )</f>
        <v>1</v>
      </c>
      <c r="C125" s="14" t="s">
        <v>559</v>
      </c>
      <c r="D125" s="59" t="s">
        <v>800</v>
      </c>
      <c r="E125" s="83" t="s">
        <v>560</v>
      </c>
      <c r="F125" s="115" t="s">
        <v>560</v>
      </c>
      <c r="G125" s="63" t="s">
        <v>800</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2</v>
      </c>
      <c r="C126" s="14" t="s">
        <v>559</v>
      </c>
      <c r="D126" s="59" t="s">
        <v>801</v>
      </c>
      <c r="E126" s="83" t="s">
        <v>659</v>
      </c>
      <c r="F126" s="115" t="s">
        <v>659</v>
      </c>
      <c r="G126" s="63" t="s">
        <v>801</v>
      </c>
      <c r="H126" s="59" t="s">
        <v>1020</v>
      </c>
      <c r="I126" s="59" t="s">
        <v>251</v>
      </c>
      <c r="J126" s="59" t="s">
        <v>256</v>
      </c>
      <c r="K126" s="59" t="s">
        <v>256</v>
      </c>
      <c r="L126" s="59" t="s">
        <v>786</v>
      </c>
      <c r="M126" s="59" t="s">
        <v>257</v>
      </c>
      <c r="N126" s="58">
        <v>0</v>
      </c>
      <c r="O126" s="58">
        <v>1</v>
      </c>
      <c r="P126" s="58">
        <v>0.4</v>
      </c>
      <c r="Q126" s="64">
        <f xml:space="preserve"> IF(co_impactTypes[[#This Row],[econMultiplierName]]="None", "N/A", 2010)</f>
        <v>2010</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3</v>
      </c>
      <c r="C127" s="14" t="s">
        <v>1005</v>
      </c>
      <c r="D127" s="59" t="s">
        <v>201</v>
      </c>
      <c r="E127" s="83" t="s">
        <v>927</v>
      </c>
      <c r="F127" s="115"/>
      <c r="G127" s="63" t="s">
        <v>1006</v>
      </c>
      <c r="H127" s="59"/>
      <c r="I127" s="59" t="s">
        <v>1009</v>
      </c>
      <c r="J127" s="59" t="s">
        <v>256</v>
      </c>
      <c r="K127" s="59"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4</v>
      </c>
      <c r="C128" s="14" t="s">
        <v>1248</v>
      </c>
      <c r="D128" s="59" t="s">
        <v>201</v>
      </c>
      <c r="E128" s="83" t="s">
        <v>927</v>
      </c>
      <c r="F128" s="115"/>
      <c r="G128" s="63" t="s">
        <v>1266</v>
      </c>
      <c r="H128" s="59" t="s">
        <v>1020</v>
      </c>
      <c r="I128" s="59" t="s">
        <v>251</v>
      </c>
      <c r="J128" s="59" t="s">
        <v>256</v>
      </c>
      <c r="K128" s="59" t="s">
        <v>256</v>
      </c>
      <c r="L128" s="59" t="s">
        <v>786</v>
      </c>
      <c r="M128" s="59" t="s">
        <v>257</v>
      </c>
      <c r="N128" s="58">
        <v>0</v>
      </c>
      <c r="O128" s="58">
        <v>1</v>
      </c>
      <c r="P128" s="58">
        <v>0.4</v>
      </c>
      <c r="Q128" s="64">
        <f xml:space="preserve"> IF(co_impactTypes[[#This Row],[econMultiplierName]]="None", "N/A", 2010)</f>
        <v>2010</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5</v>
      </c>
      <c r="C129" s="14" t="s">
        <v>1229</v>
      </c>
      <c r="D129" s="59" t="s">
        <v>1166</v>
      </c>
      <c r="E129" s="59" t="s">
        <v>1166</v>
      </c>
      <c r="F129" s="59" t="s">
        <v>1166</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6</v>
      </c>
      <c r="C130" s="14" t="s">
        <v>1229</v>
      </c>
      <c r="D130" s="59" t="s">
        <v>1167</v>
      </c>
      <c r="E130" s="59" t="s">
        <v>1167</v>
      </c>
      <c r="F130" s="59" t="s">
        <v>1167</v>
      </c>
      <c r="G130" s="63" t="s">
        <v>1170</v>
      </c>
      <c r="H130" s="59"/>
      <c r="I130" s="59" t="s">
        <v>256</v>
      </c>
      <c r="J130" s="125" t="s">
        <v>256</v>
      </c>
      <c r="K130" s="125" t="s">
        <v>256</v>
      </c>
      <c r="L130" s="59" t="s">
        <v>256</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7</v>
      </c>
      <c r="C131" s="14" t="s">
        <v>1229</v>
      </c>
      <c r="D131" s="59" t="s">
        <v>1168</v>
      </c>
      <c r="E131" s="59" t="s">
        <v>1168</v>
      </c>
      <c r="F131" s="59" t="s">
        <v>1168</v>
      </c>
      <c r="G131" s="63" t="s">
        <v>1170</v>
      </c>
      <c r="H131" s="59"/>
      <c r="I131" s="59" t="s">
        <v>256</v>
      </c>
      <c r="J131" s="59" t="s">
        <v>256</v>
      </c>
      <c r="K131" s="59" t="s">
        <v>256</v>
      </c>
      <c r="L131" s="59" t="s">
        <v>256</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8</v>
      </c>
      <c r="C132" s="14" t="s">
        <v>1229</v>
      </c>
      <c r="D132" s="59" t="s">
        <v>1169</v>
      </c>
      <c r="E132" s="59" t="s">
        <v>1169</v>
      </c>
      <c r="F132" s="59" t="s">
        <v>1169</v>
      </c>
      <c r="G132" s="63" t="s">
        <v>1170</v>
      </c>
      <c r="H132" s="59"/>
      <c r="I132" s="59" t="s">
        <v>256</v>
      </c>
      <c r="J132" s="59" t="s">
        <v>256</v>
      </c>
      <c r="K132" s="59" t="s">
        <v>256</v>
      </c>
      <c r="L132" s="59" t="s">
        <v>256</v>
      </c>
      <c r="M132" s="59" t="s">
        <v>256</v>
      </c>
      <c r="N132" s="58">
        <v>0</v>
      </c>
      <c r="O132" s="58">
        <v>1</v>
      </c>
      <c r="P132" s="58">
        <v>1</v>
      </c>
      <c r="Q132" s="64" t="str">
        <f xml:space="preserve"> IF(co_impactTypes[[#This Row],[econMultiplierName]]="None", "N/A", 2010)</f>
        <v>N/A</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9</v>
      </c>
      <c r="C133" s="14" t="s">
        <v>1230</v>
      </c>
      <c r="D133" s="59" t="s">
        <v>1223</v>
      </c>
      <c r="E133" s="63" t="s">
        <v>1223</v>
      </c>
      <c r="F133" s="115" t="s">
        <v>1223</v>
      </c>
      <c r="G133" s="63" t="s">
        <v>1233</v>
      </c>
      <c r="H133" s="59" t="s">
        <v>1234</v>
      </c>
      <c r="I133" s="59" t="s">
        <v>256</v>
      </c>
      <c r="J133" s="59" t="s">
        <v>256</v>
      </c>
      <c r="K133" s="59" t="s">
        <v>256</v>
      </c>
      <c r="L133" s="59" t="s">
        <v>1225</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7">
        <f xml:space="preserve"> ROW( co_impactTypes[[#This Row],[row_id]] ) - ROW(co_impactTypes[[#Headers],[row_id]] )</f>
        <v>10</v>
      </c>
      <c r="C134" s="14" t="s">
        <v>1230</v>
      </c>
      <c r="D134" s="59" t="s">
        <v>1224</v>
      </c>
      <c r="E134" s="63" t="s">
        <v>1224</v>
      </c>
      <c r="F134" s="115" t="s">
        <v>1224</v>
      </c>
      <c r="G134" s="63" t="s">
        <v>1233</v>
      </c>
      <c r="H134" s="59" t="s">
        <v>1234</v>
      </c>
      <c r="I134" s="59" t="s">
        <v>256</v>
      </c>
      <c r="J134" s="59" t="s">
        <v>256</v>
      </c>
      <c r="K134" s="59" t="s">
        <v>256</v>
      </c>
      <c r="L134" s="59" t="s">
        <v>1227</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11</v>
      </c>
      <c r="C135" s="14" t="s">
        <v>1159</v>
      </c>
      <c r="D135" s="59" t="s">
        <v>201</v>
      </c>
      <c r="E135" s="83" t="s">
        <v>927</v>
      </c>
      <c r="F135" s="115"/>
      <c r="G135" s="63" t="s">
        <v>768</v>
      </c>
      <c r="H135" s="59" t="s">
        <v>1020</v>
      </c>
      <c r="I135" s="59" t="s">
        <v>251</v>
      </c>
      <c r="J135" s="59" t="s">
        <v>256</v>
      </c>
      <c r="K135" s="59" t="s">
        <v>256</v>
      </c>
      <c r="L135" s="59" t="s">
        <v>786</v>
      </c>
      <c r="M135" s="59" t="s">
        <v>257</v>
      </c>
      <c r="N135" s="58">
        <v>0</v>
      </c>
      <c r="O135" s="58">
        <v>1</v>
      </c>
      <c r="P135" s="58">
        <v>0.4</v>
      </c>
      <c r="Q135" s="64">
        <f xml:space="preserve"> IF(co_impactTypes[[#This Row],[econMultiplierName]]="None", "N/A", 2010)</f>
        <v>2010</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12</v>
      </c>
      <c r="C136" s="14" t="s">
        <v>86</v>
      </c>
      <c r="D136" s="59" t="s">
        <v>201</v>
      </c>
      <c r="E136" s="83" t="s">
        <v>927</v>
      </c>
      <c r="F136" s="83" t="s">
        <v>927</v>
      </c>
      <c r="G136" s="63" t="s">
        <v>803</v>
      </c>
      <c r="H136" s="59"/>
      <c r="I136" s="59" t="s">
        <v>256</v>
      </c>
      <c r="J136" s="59" t="s">
        <v>256</v>
      </c>
      <c r="K136" s="59" t="s">
        <v>256</v>
      </c>
      <c r="L136" s="59" t="s">
        <v>256</v>
      </c>
      <c r="M136" s="59" t="s">
        <v>256</v>
      </c>
      <c r="N136" s="58">
        <v>0</v>
      </c>
      <c r="O136" s="58">
        <v>1</v>
      </c>
      <c r="P136" s="58">
        <v>1</v>
      </c>
      <c r="Q136" s="64" t="str">
        <f xml:space="preserve"> IF(co_impactTypes[[#This Row],[econMultiplierName]]="None", "N/A", 2010)</f>
        <v>N/A</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1" x14ac:dyDescent="0.3">
      <c r="B137" s="7">
        <f xml:space="preserve"> ROW( co_impactTypes[[#This Row],[row_id]] ) - ROW(co_impactTypes[[#Headers],[row_id]] )</f>
        <v>13</v>
      </c>
      <c r="C137" s="14" t="s">
        <v>220</v>
      </c>
      <c r="D137" s="59" t="s">
        <v>201</v>
      </c>
      <c r="E137" s="83" t="s">
        <v>927</v>
      </c>
      <c r="F137" s="115"/>
      <c r="G137" s="63" t="s">
        <v>996</v>
      </c>
      <c r="H137" s="59"/>
      <c r="I137" s="59" t="s">
        <v>256</v>
      </c>
      <c r="J137" s="59" t="s">
        <v>256</v>
      </c>
      <c r="K137" s="59" t="s">
        <v>261</v>
      </c>
      <c r="L137" s="59" t="s">
        <v>256</v>
      </c>
      <c r="M137" s="59" t="s">
        <v>256</v>
      </c>
      <c r="N137" s="58">
        <v>0</v>
      </c>
      <c r="O137" s="58">
        <v>1</v>
      </c>
      <c r="P137" s="58">
        <v>1</v>
      </c>
      <c r="Q137" s="64" t="str">
        <f xml:space="preserve"> IF(co_impactTypes[[#This Row],[econMultiplierName]]="None", "N/A", 2010)</f>
        <v>N/A</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7">
        <f xml:space="preserve"> ROW( co_impactTypes[[#This Row],[row_id]] ) - ROW(co_impactTypes[[#Headers],[row_id]] )</f>
        <v>14</v>
      </c>
      <c r="C138" s="14" t="s">
        <v>1002</v>
      </c>
      <c r="D138" s="59" t="s">
        <v>201</v>
      </c>
      <c r="E138" s="83" t="s">
        <v>927</v>
      </c>
      <c r="F138" s="115"/>
      <c r="G138" s="66" t="s">
        <v>981</v>
      </c>
      <c r="H138" s="67"/>
      <c r="I138" s="59" t="s">
        <v>256</v>
      </c>
      <c r="J138" s="56" t="s">
        <v>256</v>
      </c>
      <c r="K138" s="56" t="s">
        <v>1003</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3">
      <c r="B139" s="7">
        <f xml:space="preserve"> ROW( co_impactTypes[[#This Row],[row_id]] ) - ROW(co_impactTypes[[#Headers],[row_id]] )</f>
        <v>15</v>
      </c>
      <c r="C139" s="14" t="s">
        <v>17</v>
      </c>
      <c r="D139" s="59" t="s">
        <v>203</v>
      </c>
      <c r="E139" s="83" t="s">
        <v>16</v>
      </c>
      <c r="F139" s="115" t="s">
        <v>16</v>
      </c>
      <c r="G139" s="63" t="s">
        <v>810</v>
      </c>
      <c r="H139" s="59" t="s">
        <v>1020</v>
      </c>
      <c r="I139" s="59" t="s">
        <v>251</v>
      </c>
      <c r="J139" s="59" t="s">
        <v>258</v>
      </c>
      <c r="K139" s="59" t="s">
        <v>256</v>
      </c>
      <c r="L139" s="59" t="s">
        <v>786</v>
      </c>
      <c r="M139" s="59" t="s">
        <v>257</v>
      </c>
      <c r="N139" s="58">
        <v>0</v>
      </c>
      <c r="O139" s="58">
        <v>1</v>
      </c>
      <c r="P139" s="58">
        <v>0.4</v>
      </c>
      <c r="Q139" s="64">
        <f xml:space="preserve"> IF(co_impactTypes[[#This Row],[econMultiplierName]]="None", "N/A", 2010)</f>
        <v>2010</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7">
        <f xml:space="preserve"> ROW( co_impactTypes[[#This Row],[row_id]] ) - ROW(co_impactTypes[[#Headers],[row_id]] )</f>
        <v>16</v>
      </c>
      <c r="C140" s="14" t="s">
        <v>17</v>
      </c>
      <c r="D140" s="59" t="s">
        <v>202</v>
      </c>
      <c r="E140" s="83" t="s">
        <v>14</v>
      </c>
      <c r="F140" s="115" t="s">
        <v>14</v>
      </c>
      <c r="G140" s="63" t="s">
        <v>811</v>
      </c>
      <c r="H140" s="59" t="s">
        <v>1020</v>
      </c>
      <c r="I140" s="59" t="s">
        <v>251</v>
      </c>
      <c r="J140" s="59" t="s">
        <v>258</v>
      </c>
      <c r="K140" s="59" t="s">
        <v>256</v>
      </c>
      <c r="L140" s="59" t="s">
        <v>786</v>
      </c>
      <c r="M140" s="59" t="s">
        <v>257</v>
      </c>
      <c r="N140" s="58">
        <v>0</v>
      </c>
      <c r="O140" s="58">
        <v>1</v>
      </c>
      <c r="P140" s="58">
        <v>0.4</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1" x14ac:dyDescent="0.3">
      <c r="B141" s="7">
        <f xml:space="preserve"> ROW( co_impactTypes[[#This Row],[row_id]] ) - ROW(co_impactTypes[[#Headers],[row_id]] )</f>
        <v>17</v>
      </c>
      <c r="C141" s="14" t="s">
        <v>221</v>
      </c>
      <c r="D141" s="59" t="s">
        <v>201</v>
      </c>
      <c r="E141" s="83" t="s">
        <v>927</v>
      </c>
      <c r="F141" s="83" t="s">
        <v>927</v>
      </c>
      <c r="G141" s="63" t="s">
        <v>224</v>
      </c>
      <c r="H141" s="59"/>
      <c r="I141" s="59" t="s">
        <v>256</v>
      </c>
      <c r="J141" s="59" t="s">
        <v>256</v>
      </c>
      <c r="K141" s="59" t="s">
        <v>256</v>
      </c>
      <c r="L141" s="59" t="s">
        <v>256</v>
      </c>
      <c r="M141" s="59" t="s">
        <v>256</v>
      </c>
      <c r="N141" s="58">
        <v>0</v>
      </c>
      <c r="O141" s="58">
        <v>1</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1" x14ac:dyDescent="0.3">
      <c r="B142" s="7">
        <f xml:space="preserve"> ROW( co_impactTypes[[#This Row],[row_id]] ) - ROW(co_impactTypes[[#Headers],[row_id]] )</f>
        <v>18</v>
      </c>
      <c r="C142" s="14" t="s">
        <v>84</v>
      </c>
      <c r="D142" s="59" t="s">
        <v>201</v>
      </c>
      <c r="E142" s="83" t="s">
        <v>927</v>
      </c>
      <c r="F142" s="115"/>
      <c r="G142" s="63" t="s">
        <v>1086</v>
      </c>
      <c r="H142" s="59"/>
      <c r="I142" s="59" t="s">
        <v>256</v>
      </c>
      <c r="J142" s="59" t="s">
        <v>256</v>
      </c>
      <c r="K142" s="59" t="s">
        <v>256</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7">
        <f xml:space="preserve"> ROW( co_impactTypes[[#This Row],[row_id]] ) - ROW(co_impactTypes[[#Headers],[row_id]] )</f>
        <v>19</v>
      </c>
      <c r="C143" s="14" t="s">
        <v>34</v>
      </c>
      <c r="D143" s="59" t="s">
        <v>201</v>
      </c>
      <c r="E143" s="83" t="s">
        <v>804</v>
      </c>
      <c r="F143" s="115"/>
      <c r="G143" s="63" t="s">
        <v>807</v>
      </c>
      <c r="H143" s="59" t="s">
        <v>1022</v>
      </c>
      <c r="I143" s="59" t="s">
        <v>759</v>
      </c>
      <c r="J143" s="59" t="s">
        <v>256</v>
      </c>
      <c r="K143" s="59" t="s">
        <v>256</v>
      </c>
      <c r="L143" s="59" t="s">
        <v>1010</v>
      </c>
      <c r="M143" s="59" t="s">
        <v>257</v>
      </c>
      <c r="N143" s="58">
        <v>0</v>
      </c>
      <c r="O143" s="58">
        <v>1</v>
      </c>
      <c r="P143" s="58">
        <v>1</v>
      </c>
      <c r="Q143" s="64">
        <f xml:space="preserve"> IF(co_impactTypes[[#This Row],[econMultiplierName]]="None", "N/A", 2010)</f>
        <v>2010</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3">
      <c r="B144" s="7">
        <f xml:space="preserve"> ROW( co_impactTypes[[#This Row],[row_id]] ) - ROW(co_impactTypes[[#Headers],[row_id]] )</f>
        <v>20</v>
      </c>
      <c r="C144" s="14" t="s">
        <v>223</v>
      </c>
      <c r="D144" s="59" t="s">
        <v>201</v>
      </c>
      <c r="E144" s="83" t="s">
        <v>927</v>
      </c>
      <c r="F144" s="115"/>
      <c r="G144" s="63" t="s">
        <v>1163</v>
      </c>
      <c r="H144" s="59"/>
      <c r="I144" s="59" t="s">
        <v>256</v>
      </c>
      <c r="J144" s="59" t="s">
        <v>256</v>
      </c>
      <c r="K144" s="59" t="s">
        <v>256</v>
      </c>
      <c r="L144" s="59" t="s">
        <v>256</v>
      </c>
      <c r="M144" s="59" t="s">
        <v>256</v>
      </c>
      <c r="N144" s="58">
        <v>0</v>
      </c>
      <c r="O144" s="58">
        <v>1000000</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138">
        <f xml:space="preserve"> ROW( co_impactTypes[[#This Row],[row_id]] ) - ROW(co_impactTypes[[#Headers],[row_id]] )</f>
        <v>21</v>
      </c>
      <c r="C145" s="14" t="s">
        <v>1313</v>
      </c>
      <c r="D145" s="59" t="s">
        <v>201</v>
      </c>
      <c r="E145" s="83" t="s">
        <v>927</v>
      </c>
      <c r="F145" s="115"/>
      <c r="G145" s="63" t="s">
        <v>1315</v>
      </c>
      <c r="H145" s="59" t="s">
        <v>1020</v>
      </c>
      <c r="I145" s="59" t="s">
        <v>251</v>
      </c>
      <c r="J145" s="59" t="s">
        <v>1316</v>
      </c>
      <c r="K145" s="59" t="s">
        <v>256</v>
      </c>
      <c r="L145" s="59" t="s">
        <v>786</v>
      </c>
      <c r="M145" s="59" t="s">
        <v>257</v>
      </c>
      <c r="N145" s="58">
        <v>0</v>
      </c>
      <c r="O145" s="58">
        <v>1</v>
      </c>
      <c r="P145" s="58">
        <v>0.4</v>
      </c>
      <c r="Q145" s="145">
        <f xml:space="preserve"> IF(co_impactTypes[[#This Row],[econMultiplierName]]="None", "N/A", 2010)</f>
        <v>2010</v>
      </c>
      <c r="R145" s="14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140" cm="1">
        <f t="array" ref="S145" xml:space="preserve"> IF( co_impactTypes[[#This Row],[damageAdjName]] = "none", 1, --( SUMPRODUCT( --IF( ISERROR( FIND( co_impactTypes[[#This Row],[damageAdjName]], scalarDataframe[scalarName] ) ), 0, 1 ), --( "damageAdj" = scalarDataframe[scalarType] ) ) &gt;= 1 ) )</f>
        <v>1</v>
      </c>
      <c r="T145" s="140" cm="1">
        <f t="array" ref="T145" xml:space="preserve"> IF( co_impactTypes[[#This Row],[econScalarName]] = "none", 1, --( SUMPRODUCT( --IF( ISERROR( FIND( co_impactTypes[[#This Row],[econScalarName]], scalarDataframe[scalarName] ) ), 0, 1 ), --( "econScalar" = scalarDataframe[scalarType] ) ) &gt;= 1 ) )</f>
        <v>1</v>
      </c>
      <c r="U145" s="14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22</v>
      </c>
      <c r="C146" s="14" t="s">
        <v>209</v>
      </c>
      <c r="D146" s="59" t="s">
        <v>201</v>
      </c>
      <c r="E146" s="83" t="s">
        <v>927</v>
      </c>
      <c r="F146" s="115"/>
      <c r="G146" s="66" t="s">
        <v>805</v>
      </c>
      <c r="H146" s="67"/>
      <c r="I146" s="59" t="s">
        <v>236</v>
      </c>
      <c r="J146" s="56" t="s">
        <v>256</v>
      </c>
      <c r="K146" s="56" t="s">
        <v>781</v>
      </c>
      <c r="L146" s="59" t="s">
        <v>256</v>
      </c>
      <c r="M146" s="59" t="s">
        <v>256</v>
      </c>
      <c r="N146" s="58">
        <v>0</v>
      </c>
      <c r="O146" s="58">
        <v>1</v>
      </c>
      <c r="P146" s="58">
        <v>1</v>
      </c>
      <c r="Q146" s="64" t="str">
        <f xml:space="preserve"> IF(co_impactTypes[[#This Row],[econMultiplierName]]="None", "N/A", 2010)</f>
        <v>N/A</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23</v>
      </c>
      <c r="C147" s="14" t="s">
        <v>216</v>
      </c>
      <c r="D147" s="59" t="s">
        <v>201</v>
      </c>
      <c r="E147" s="83" t="s">
        <v>927</v>
      </c>
      <c r="F147" s="115"/>
      <c r="G147" s="66" t="s">
        <v>808</v>
      </c>
      <c r="H147" s="67"/>
      <c r="I147" s="59" t="s">
        <v>250</v>
      </c>
      <c r="J147" s="56" t="s">
        <v>256</v>
      </c>
      <c r="K147" s="56" t="s">
        <v>237</v>
      </c>
      <c r="L147" s="59" t="s">
        <v>256</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ht="21" x14ac:dyDescent="0.3">
      <c r="B148" s="7">
        <f xml:space="preserve"> ROW( co_impactTypes[[#This Row],[row_id]] ) - ROW(co_impactTypes[[#Headers],[row_id]] )</f>
        <v>24</v>
      </c>
      <c r="C148" s="14" t="s">
        <v>85</v>
      </c>
      <c r="D148" s="59" t="s">
        <v>982</v>
      </c>
      <c r="E148" s="83" t="s">
        <v>195</v>
      </c>
      <c r="F148" s="115" t="s">
        <v>195</v>
      </c>
      <c r="G148" s="63" t="s">
        <v>214</v>
      </c>
      <c r="H148" s="59"/>
      <c r="I148" s="59" t="s">
        <v>251</v>
      </c>
      <c r="J148" s="59" t="s">
        <v>259</v>
      </c>
      <c r="K148" s="59" t="s">
        <v>256</v>
      </c>
      <c r="L148" s="59" t="s">
        <v>788</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3">
      <c r="B149" s="7">
        <f xml:space="preserve"> ROW( co_impactTypes[[#This Row],[row_id]] ) - ROW(co_impactTypes[[#Headers],[row_id]] )</f>
        <v>25</v>
      </c>
      <c r="C149" s="14" t="s">
        <v>85</v>
      </c>
      <c r="D149" s="59" t="s">
        <v>217</v>
      </c>
      <c r="E149" s="83" t="s">
        <v>194</v>
      </c>
      <c r="F149" s="115" t="s">
        <v>194</v>
      </c>
      <c r="G149" s="63" t="s">
        <v>213</v>
      </c>
      <c r="H149" s="59"/>
      <c r="I149" s="59" t="s">
        <v>251</v>
      </c>
      <c r="J149" s="59" t="s">
        <v>259</v>
      </c>
      <c r="K149" s="59" t="s">
        <v>256</v>
      </c>
      <c r="L149" s="59" t="s">
        <v>788</v>
      </c>
      <c r="M149" s="59" t="s">
        <v>256</v>
      </c>
      <c r="N149" s="58">
        <v>0</v>
      </c>
      <c r="O149" s="58">
        <v>1</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26</v>
      </c>
      <c r="C150" s="14" t="s">
        <v>85</v>
      </c>
      <c r="D150" s="59" t="s">
        <v>204</v>
      </c>
      <c r="E150" s="83" t="s">
        <v>191</v>
      </c>
      <c r="F150" s="115" t="s">
        <v>191</v>
      </c>
      <c r="G150" s="63" t="s">
        <v>204</v>
      </c>
      <c r="H150" s="59" t="s">
        <v>1020</v>
      </c>
      <c r="I150" s="59" t="s">
        <v>251</v>
      </c>
      <c r="J150" s="59" t="s">
        <v>259</v>
      </c>
      <c r="K150" s="59" t="s">
        <v>256</v>
      </c>
      <c r="L150" s="59" t="s">
        <v>786</v>
      </c>
      <c r="M150" s="59" t="s">
        <v>257</v>
      </c>
      <c r="N150" s="58">
        <v>0</v>
      </c>
      <c r="O150" s="58">
        <v>1</v>
      </c>
      <c r="P150" s="58">
        <v>0.4</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27</v>
      </c>
      <c r="C151" s="14" t="s">
        <v>85</v>
      </c>
      <c r="D151" s="59" t="s">
        <v>205</v>
      </c>
      <c r="E151" s="83" t="s">
        <v>193</v>
      </c>
      <c r="F151" s="115" t="s">
        <v>193</v>
      </c>
      <c r="G151" s="63" t="s">
        <v>212</v>
      </c>
      <c r="H151" s="59"/>
      <c r="I151" s="59" t="s">
        <v>251</v>
      </c>
      <c r="J151" s="59" t="s">
        <v>259</v>
      </c>
      <c r="K151" s="59" t="s">
        <v>256</v>
      </c>
      <c r="L151" s="59" t="s">
        <v>789</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28</v>
      </c>
      <c r="C152" s="14" t="s">
        <v>85</v>
      </c>
      <c r="D152" s="59" t="s">
        <v>249</v>
      </c>
      <c r="E152" s="83" t="s">
        <v>192</v>
      </c>
      <c r="F152" s="115" t="s">
        <v>192</v>
      </c>
      <c r="G152" s="63" t="s">
        <v>809</v>
      </c>
      <c r="H152" s="59"/>
      <c r="I152" s="59" t="s">
        <v>251</v>
      </c>
      <c r="J152" s="59" t="s">
        <v>259</v>
      </c>
      <c r="K152" s="59" t="s">
        <v>256</v>
      </c>
      <c r="L152" s="59" t="s">
        <v>812</v>
      </c>
      <c r="M152" s="59" t="s">
        <v>256</v>
      </c>
      <c r="N152" s="58">
        <v>0</v>
      </c>
      <c r="O152" s="58">
        <v>1</v>
      </c>
      <c r="P152" s="58">
        <v>1</v>
      </c>
      <c r="Q152" s="64" t="str">
        <f xml:space="preserve"> IF(co_impactTypes[[#This Row],[econMultiplierName]]="None", "N/A", 2010)</f>
        <v>N/A</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ht="21" x14ac:dyDescent="0.3">
      <c r="B153" s="7">
        <f xml:space="preserve"> ROW( co_impactTypes[[#This Row],[row_id]] ) - ROW(co_impactTypes[[#Headers],[row_id]] )</f>
        <v>29</v>
      </c>
      <c r="C153" s="14" t="s">
        <v>225</v>
      </c>
      <c r="D153" s="59" t="s">
        <v>201</v>
      </c>
      <c r="E153" s="83" t="s">
        <v>927</v>
      </c>
      <c r="F153" s="115"/>
      <c r="G153" s="63" t="s">
        <v>995</v>
      </c>
      <c r="H153" s="59"/>
      <c r="I153" s="59" t="s">
        <v>256</v>
      </c>
      <c r="J153" s="59" t="s">
        <v>256</v>
      </c>
      <c r="K153" s="59" t="s">
        <v>256</v>
      </c>
      <c r="L153" s="59" t="s">
        <v>256</v>
      </c>
      <c r="M153" s="59" t="s">
        <v>256</v>
      </c>
      <c r="N153" s="58">
        <v>0</v>
      </c>
      <c r="O153" s="58">
        <f>10^6</f>
        <v>1000000</v>
      </c>
      <c r="P153" s="58">
        <v>1</v>
      </c>
      <c r="Q153" s="64" t="str">
        <f xml:space="preserve"> IF(co_impactTypes[[#This Row],[econMultiplierName]]="None", "N/A", 2010)</f>
        <v>N/A</v>
      </c>
      <c r="R153" s="65"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5" cm="1">
        <f t="array" ref="S153" xml:space="preserve"> IF( co_impactTypes[[#This Row],[damageAdjName]] = "none", 1, --( SUMPRODUCT( --IF( ISERROR( FIND( co_impactTypes[[#This Row],[damageAdjName]], scalarDataframe[scalarName] ) ), 0, 1 ), --( "damageAdj" = scalarDataframe[scalarType] ) ) &gt;= 1 ) )</f>
        <v>1</v>
      </c>
      <c r="T153" s="65" cm="1">
        <f t="array" ref="T153" xml:space="preserve"> IF( co_impactTypes[[#This Row],[econScalarName]] = "none", 1, --( SUMPRODUCT( --IF( ISERROR( FIND( co_impactTypes[[#This Row],[econScalarName]], scalarDataframe[scalarName] ) ), 0, 1 ), --( "econScalar" = scalarDataframe[scalarType] ) ) &gt;= 1 ) )</f>
        <v>1</v>
      </c>
      <c r="U153" s="65"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7">
        <f xml:space="preserve"> ROW( co_impactTypes[[#This Row],[row_id]] ) - ROW(co_impactTypes[[#Headers],[row_id]] )</f>
        <v>30</v>
      </c>
      <c r="C154" s="14" t="s">
        <v>983</v>
      </c>
      <c r="D154" s="59" t="s">
        <v>994</v>
      </c>
      <c r="E154" s="83" t="s">
        <v>804</v>
      </c>
      <c r="F154" s="115" t="s">
        <v>994</v>
      </c>
      <c r="G154" s="63" t="s">
        <v>994</v>
      </c>
      <c r="H154" s="59"/>
      <c r="I154" s="59" t="s">
        <v>251</v>
      </c>
      <c r="J154" s="59" t="s">
        <v>989</v>
      </c>
      <c r="K154" s="59" t="s">
        <v>256</v>
      </c>
      <c r="L154" s="59" t="s">
        <v>990</v>
      </c>
      <c r="M154" s="59" t="s">
        <v>257</v>
      </c>
      <c r="N154" s="58">
        <v>0</v>
      </c>
      <c r="O154" s="58">
        <v>1</v>
      </c>
      <c r="P154" s="58">
        <v>1</v>
      </c>
      <c r="Q154" s="64">
        <f xml:space="preserve"> IF(co_impactTypes[[#This Row],[econMultiplierName]]="None", "N/A", 2010)</f>
        <v>2010</v>
      </c>
      <c r="R154" s="65"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5" cm="1">
        <f t="array" ref="S154" xml:space="preserve"> IF( co_impactTypes[[#This Row],[damageAdjName]] = "none", 1, --( SUMPRODUCT( --IF( ISERROR( FIND( co_impactTypes[[#This Row],[damageAdjName]], scalarDataframe[scalarName] ) ), 0, 1 ), --( "damageAdj" = scalarDataframe[scalarType] ) ) &gt;= 1 ) )</f>
        <v>1</v>
      </c>
      <c r="T154" s="65" cm="1">
        <f t="array" ref="T154" xml:space="preserve"> IF( co_impactTypes[[#This Row],[econScalarName]] = "none", 1, --( SUMPRODUCT( --IF( ISERROR( FIND( co_impactTypes[[#This Row],[econScalarName]], scalarDataframe[scalarName] ) ), 0, 1 ), --( "econScalar" = scalarDataframe[scalarType] ) ) &gt;= 1 ) )</f>
        <v>1</v>
      </c>
      <c r="U154" s="65"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7">
        <f xml:space="preserve"> ROW( co_impactTypes[[#This Row],[row_id]] ) - ROW(co_impactTypes[[#Headers],[row_id]] )</f>
        <v>31</v>
      </c>
      <c r="C155" s="14" t="s">
        <v>983</v>
      </c>
      <c r="D155" s="59" t="s">
        <v>769</v>
      </c>
      <c r="E155" s="115" t="s">
        <v>769</v>
      </c>
      <c r="F155" s="115" t="s">
        <v>769</v>
      </c>
      <c r="G155" s="63" t="s">
        <v>769</v>
      </c>
      <c r="H155" s="59"/>
      <c r="I155" s="59" t="s">
        <v>251</v>
      </c>
      <c r="J155" s="59" t="s">
        <v>1011</v>
      </c>
      <c r="K155" s="59" t="s">
        <v>256</v>
      </c>
      <c r="L155" s="59" t="s">
        <v>991</v>
      </c>
      <c r="M155" s="59" t="s">
        <v>256</v>
      </c>
      <c r="N155" s="58">
        <v>0</v>
      </c>
      <c r="O155" s="58">
        <v>1</v>
      </c>
      <c r="P155" s="58">
        <v>1</v>
      </c>
      <c r="Q155" s="64" t="str">
        <f xml:space="preserve"> IF(co_impactTypes[[#This Row],[econMultiplierName]]="None", "N/A", 2010)</f>
        <v>N/A</v>
      </c>
      <c r="R155" s="65"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5" cm="1">
        <f t="array" ref="S155" xml:space="preserve"> IF( co_impactTypes[[#This Row],[damageAdjName]] = "none", 1, --( SUMPRODUCT( --IF( ISERROR( FIND( co_impactTypes[[#This Row],[damageAdjName]], scalarDataframe[scalarName] ) ), 0, 1 ), --( "damageAdj" = scalarDataframe[scalarType] ) ) &gt;= 1 ) )</f>
        <v>1</v>
      </c>
      <c r="T155" s="65" cm="1">
        <f t="array" ref="T155" xml:space="preserve"> IF( co_impactTypes[[#This Row],[econScalarName]] = "none", 1, --( SUMPRODUCT( --IF( ISERROR( FIND( co_impactTypes[[#This Row],[econScalarName]], scalarDataframe[scalarName] ) ), 0, 1 ), --( "econScalar" = scalarDataframe[scalarType] ) ) &gt;= 1 ) )</f>
        <v>1</v>
      </c>
      <c r="U155" s="65"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32</v>
      </c>
      <c r="C156" s="14" t="s">
        <v>983</v>
      </c>
      <c r="D156" s="59" t="s">
        <v>768</v>
      </c>
      <c r="E156" s="115" t="s">
        <v>768</v>
      </c>
      <c r="F156" s="115" t="s">
        <v>768</v>
      </c>
      <c r="G156" s="63" t="s">
        <v>768</v>
      </c>
      <c r="H156" s="59" t="s">
        <v>1020</v>
      </c>
      <c r="I156" s="59" t="s">
        <v>251</v>
      </c>
      <c r="J156" s="59" t="s">
        <v>988</v>
      </c>
      <c r="K156" s="59" t="s">
        <v>256</v>
      </c>
      <c r="L156" s="59" t="s">
        <v>786</v>
      </c>
      <c r="M156" s="59" t="s">
        <v>257</v>
      </c>
      <c r="N156" s="58">
        <v>0</v>
      </c>
      <c r="O156" s="58">
        <v>1</v>
      </c>
      <c r="P156" s="58">
        <v>0.4</v>
      </c>
      <c r="Q156" s="64">
        <f xml:space="preserve"> IF(co_impactTypes[[#This Row],[econMultiplierName]]="None", "N/A", 2010)</f>
        <v>2010</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33</v>
      </c>
      <c r="C157" s="14" t="s">
        <v>1306</v>
      </c>
      <c r="D157" s="59" t="s">
        <v>1307</v>
      </c>
      <c r="E157" s="83" t="s">
        <v>1309</v>
      </c>
      <c r="F157" s="115" t="s">
        <v>1311</v>
      </c>
      <c r="G157" s="63" t="s">
        <v>1307</v>
      </c>
      <c r="H157" s="59"/>
      <c r="I157" s="59" t="s">
        <v>251</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0</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34</v>
      </c>
      <c r="C158" s="14" t="s">
        <v>1306</v>
      </c>
      <c r="D158" s="59" t="s">
        <v>1308</v>
      </c>
      <c r="E158" s="83" t="s">
        <v>1310</v>
      </c>
      <c r="F158" s="115" t="s">
        <v>1310</v>
      </c>
      <c r="G158" s="63" t="s">
        <v>1308</v>
      </c>
      <c r="H158" s="59"/>
      <c r="I158" s="59" t="s">
        <v>251</v>
      </c>
      <c r="J158" s="59" t="s">
        <v>256</v>
      </c>
      <c r="K158" s="59" t="s">
        <v>256</v>
      </c>
      <c r="L158" s="59" t="s">
        <v>990</v>
      </c>
      <c r="M158" s="59" t="s">
        <v>257</v>
      </c>
      <c r="N158" s="58">
        <v>0</v>
      </c>
      <c r="O158" s="58">
        <v>1</v>
      </c>
      <c r="P158" s="58">
        <v>1</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35</v>
      </c>
      <c r="C159" s="14" t="s">
        <v>1306</v>
      </c>
      <c r="D159" s="59" t="s">
        <v>768</v>
      </c>
      <c r="E159" s="83" t="s">
        <v>768</v>
      </c>
      <c r="F159" s="115" t="s">
        <v>768</v>
      </c>
      <c r="G159" s="63" t="s">
        <v>768</v>
      </c>
      <c r="H159" s="59"/>
      <c r="I159" s="59" t="s">
        <v>251</v>
      </c>
      <c r="J159" s="59" t="s">
        <v>256</v>
      </c>
      <c r="K159" s="59" t="s">
        <v>256</v>
      </c>
      <c r="L159" s="59" t="s">
        <v>786</v>
      </c>
      <c r="M159" s="59" t="s">
        <v>257</v>
      </c>
      <c r="N159" s="58">
        <v>0</v>
      </c>
      <c r="O159" s="58">
        <v>1</v>
      </c>
      <c r="P159" s="58">
        <v>0.4</v>
      </c>
      <c r="Q159" s="64">
        <f xml:space="preserve"> IF(co_impactTypes[[#This Row],[econMultiplierName]]="None", "N/A", 2010)</f>
        <v>2010</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36</v>
      </c>
      <c r="C160" s="14" t="s">
        <v>227</v>
      </c>
      <c r="D160" s="59" t="s">
        <v>201</v>
      </c>
      <c r="E160" s="83" t="s">
        <v>927</v>
      </c>
      <c r="F160" s="115"/>
      <c r="G160" s="63" t="s">
        <v>806</v>
      </c>
      <c r="H160" s="59"/>
      <c r="I160" s="59" t="s">
        <v>251</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7">
        <f xml:space="preserve"> ROW( co_impactTypes[[#This Row],[row_id]] ) - ROW(co_impactTypes[[#Headers],[row_id]] )</f>
        <v>37</v>
      </c>
      <c r="C161" s="14" t="s">
        <v>761</v>
      </c>
      <c r="D161" s="59" t="s">
        <v>769</v>
      </c>
      <c r="E161" s="83" t="s">
        <v>769</v>
      </c>
      <c r="F161" s="115" t="s">
        <v>769</v>
      </c>
      <c r="G161" s="63" t="s">
        <v>769</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7">
        <f xml:space="preserve"> ROW( co_impactTypes[[#This Row],[row_id]] ) - ROW(co_impactTypes[[#Headers],[row_id]] )</f>
        <v>38</v>
      </c>
      <c r="C162" s="14" t="s">
        <v>761</v>
      </c>
      <c r="D162" s="59" t="s">
        <v>768</v>
      </c>
      <c r="E162" s="83" t="s">
        <v>768</v>
      </c>
      <c r="F162" s="115" t="s">
        <v>768</v>
      </c>
      <c r="G162" s="63" t="s">
        <v>768</v>
      </c>
      <c r="H162" s="59" t="s">
        <v>1020</v>
      </c>
      <c r="I162" s="59" t="s">
        <v>251</v>
      </c>
      <c r="J162" s="59" t="s">
        <v>256</v>
      </c>
      <c r="K162" s="59" t="s">
        <v>256</v>
      </c>
      <c r="L162" s="59" t="s">
        <v>786</v>
      </c>
      <c r="M162" s="59" t="s">
        <v>257</v>
      </c>
      <c r="N162" s="58">
        <v>0</v>
      </c>
      <c r="O162" s="58">
        <v>1</v>
      </c>
      <c r="P162" s="58">
        <v>0.4</v>
      </c>
      <c r="Q162" s="64">
        <f xml:space="preserve"> IF(co_impactTypes[[#This Row],[econMultiplierName]]="None", "N/A", 2010)</f>
        <v>2010</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7">
        <f xml:space="preserve"> ROW( co_impactTypes[[#This Row],[row_id]] ) - ROW(co_impactTypes[[#Headers],[row_id]] )</f>
        <v>39</v>
      </c>
      <c r="C163" s="14" t="s">
        <v>761</v>
      </c>
      <c r="D163" s="59" t="s">
        <v>802</v>
      </c>
      <c r="E163" s="83" t="s">
        <v>772</v>
      </c>
      <c r="F163" s="115" t="s">
        <v>802</v>
      </c>
      <c r="G163" s="63" t="s">
        <v>802</v>
      </c>
      <c r="H163" s="59" t="s">
        <v>1021</v>
      </c>
      <c r="I163" s="59" t="s">
        <v>256</v>
      </c>
      <c r="J163" s="59" t="s">
        <v>256</v>
      </c>
      <c r="K163" s="59" t="s">
        <v>256</v>
      </c>
      <c r="L163" s="59" t="s">
        <v>771</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7">
        <f xml:space="preserve"> ROW( co_impactTypes[[#This Row],[row_id]] ) - ROW(co_impactTypes[[#Headers],[row_id]] )</f>
        <v>40</v>
      </c>
      <c r="C164" s="14" t="s">
        <v>1088</v>
      </c>
      <c r="D164" s="59" t="s">
        <v>201</v>
      </c>
      <c r="E164" s="83" t="s">
        <v>927</v>
      </c>
      <c r="F164" s="115"/>
      <c r="G164" s="63" t="s">
        <v>1099</v>
      </c>
      <c r="H164" s="59"/>
      <c r="I164" s="59" t="s">
        <v>256</v>
      </c>
      <c r="J164" s="59" t="s">
        <v>256</v>
      </c>
      <c r="K164" s="59" t="s">
        <v>256</v>
      </c>
      <c r="L164" s="59" t="s">
        <v>256</v>
      </c>
      <c r="M164" s="59" t="s">
        <v>256</v>
      </c>
      <c r="N164" s="58">
        <v>0</v>
      </c>
      <c r="O164" s="58">
        <v>1</v>
      </c>
      <c r="P164" s="58">
        <v>1</v>
      </c>
      <c r="Q164" s="64" t="str">
        <f xml:space="preserve"> IF(co_impactTypes[[#This Row],[econMultiplierName]]="None", "N/A", 2010)</f>
        <v>N/A</v>
      </c>
      <c r="R164" s="65"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5" cm="1">
        <f t="array" ref="S164" xml:space="preserve"> IF( co_impactTypes[[#This Row],[damageAdjName]] = "none", 1, --( SUMPRODUCT( --IF( ISERROR( FIND( co_impactTypes[[#This Row],[damageAdjName]], scalarDataframe[scalarName] ) ), 0, 1 ), --( "damageAdj" = scalarDataframe[scalarType] ) ) &gt;= 1 ) )</f>
        <v>1</v>
      </c>
      <c r="T164" s="65" cm="1">
        <f t="array" ref="T164" xml:space="preserve"> IF( co_impactTypes[[#This Row],[econScalarName]] = "none", 1, --( SUMPRODUCT( --IF( ISERROR( FIND( co_impactTypes[[#This Row],[econScalarName]], scalarDataframe[scalarName] ) ), 0, 1 ), --( "econScalar" = scalarDataframe[scalarType] ) ) &gt;= 1 ) )</f>
        <v>1</v>
      </c>
      <c r="U164" s="65"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ht="21" x14ac:dyDescent="0.3">
      <c r="B165" s="7">
        <f xml:space="preserve"> ROW( co_impactTypes[[#This Row],[row_id]] ) - ROW(co_impactTypes[[#Headers],[row_id]] )</f>
        <v>41</v>
      </c>
      <c r="C165" s="14" t="s">
        <v>89</v>
      </c>
      <c r="D165" s="59" t="s">
        <v>206</v>
      </c>
      <c r="E165" s="83" t="s">
        <v>90</v>
      </c>
      <c r="F165" s="115" t="s">
        <v>90</v>
      </c>
      <c r="G165" s="63" t="s">
        <v>997</v>
      </c>
      <c r="H165" s="59"/>
      <c r="I165" s="59" t="s">
        <v>251</v>
      </c>
      <c r="J165" s="59" t="s">
        <v>256</v>
      </c>
      <c r="K165" s="59" t="s">
        <v>256</v>
      </c>
      <c r="L165" s="59" t="s">
        <v>256</v>
      </c>
      <c r="M165" s="59" t="s">
        <v>256</v>
      </c>
      <c r="N165" s="58">
        <v>0</v>
      </c>
      <c r="O165" s="58">
        <v>1</v>
      </c>
      <c r="P165" s="58">
        <v>1</v>
      </c>
      <c r="Q165" s="64" t="str">
        <f xml:space="preserve"> IF(co_impactTypes[[#This Row],[econMultiplierName]]="None", "N/A", 2010)</f>
        <v>N/A</v>
      </c>
      <c r="R165" s="65"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5" cm="1">
        <f t="array" ref="S165" xml:space="preserve"> IF( co_impactTypes[[#This Row],[damageAdjName]] = "none", 1, --( SUMPRODUCT( --IF( ISERROR( FIND( co_impactTypes[[#This Row],[damageAdjName]], scalarDataframe[scalarName] ) ), 0, 1 ), --( "damageAdj" = scalarDataframe[scalarType] ) ) &gt;= 1 ) )</f>
        <v>1</v>
      </c>
      <c r="T165" s="65" cm="1">
        <f t="array" ref="T165" xml:space="preserve"> IF( co_impactTypes[[#This Row],[econScalarName]] = "none", 1, --( SUMPRODUCT( --IF( ISERROR( FIND( co_impactTypes[[#This Row],[econScalarName]], scalarDataframe[scalarName] ) ), 0, 1 ), --( "econScalar" = scalarDataframe[scalarType] ) ) &gt;= 1 ) )</f>
        <v>1</v>
      </c>
      <c r="U165" s="65"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ht="21" x14ac:dyDescent="0.3">
      <c r="B166" s="7">
        <f xml:space="preserve"> ROW( co_impactTypes[[#This Row],[row_id]] ) - ROW(co_impactTypes[[#Headers],[row_id]] )</f>
        <v>42</v>
      </c>
      <c r="C166" s="14" t="s">
        <v>89</v>
      </c>
      <c r="D166" s="59" t="s">
        <v>207</v>
      </c>
      <c r="E166" s="83" t="s">
        <v>91</v>
      </c>
      <c r="F166" s="115" t="s">
        <v>91</v>
      </c>
      <c r="G166" s="63" t="s">
        <v>998</v>
      </c>
      <c r="H166" s="59"/>
      <c r="I166" s="59" t="s">
        <v>251</v>
      </c>
      <c r="J166" s="59" t="s">
        <v>256</v>
      </c>
      <c r="K166" s="59" t="s">
        <v>256</v>
      </c>
      <c r="L166" s="59" t="s">
        <v>256</v>
      </c>
      <c r="M166" s="59" t="s">
        <v>256</v>
      </c>
      <c r="N166" s="58">
        <v>0</v>
      </c>
      <c r="O166" s="58">
        <v>1</v>
      </c>
      <c r="P166" s="58">
        <v>1</v>
      </c>
      <c r="Q166" s="64" t="str">
        <f xml:space="preserve"> IF(co_impactTypes[[#This Row],[econMultiplierName]]="None", "N/A", 2010)</f>
        <v>N/A</v>
      </c>
      <c r="R166" s="65"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5" cm="1">
        <f t="array" ref="S166" xml:space="preserve"> IF( co_impactTypes[[#This Row],[damageAdjName]] = "none", 1, --( SUMPRODUCT( --IF( ISERROR( FIND( co_impactTypes[[#This Row],[damageAdjName]], scalarDataframe[scalarName] ) ), 0, 1 ), --( "damageAdj" = scalarDataframe[scalarType] ) ) &gt;= 1 ) )</f>
        <v>1</v>
      </c>
      <c r="T166" s="65" cm="1">
        <f t="array" ref="T166" xml:space="preserve"> IF( co_impactTypes[[#This Row],[econScalarName]] = "none", 1, --( SUMPRODUCT( --IF( ISERROR( FIND( co_impactTypes[[#This Row],[econScalarName]], scalarDataframe[scalarName] ) ), 0, 1 ), --( "econScalar" = scalarDataframe[scalarType] ) ) &gt;= 1 ) )</f>
        <v>1</v>
      </c>
      <c r="U166" s="65"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7">
        <f xml:space="preserve"> ROW( co_impactTypes[[#This Row],[row_id]] ) - ROW(co_impactTypes[[#Headers],[row_id]] )</f>
        <v>43</v>
      </c>
      <c r="C167" s="14" t="s">
        <v>89</v>
      </c>
      <c r="D167" s="59" t="s">
        <v>92</v>
      </c>
      <c r="E167" s="83" t="s">
        <v>92</v>
      </c>
      <c r="F167" s="115" t="s">
        <v>92</v>
      </c>
      <c r="G167" s="63" t="s">
        <v>999</v>
      </c>
      <c r="H167" s="59"/>
      <c r="I167" s="59" t="s">
        <v>251</v>
      </c>
      <c r="J167" s="59" t="s">
        <v>256</v>
      </c>
      <c r="K167" s="59" t="s">
        <v>256</v>
      </c>
      <c r="L167" s="59" t="s">
        <v>256</v>
      </c>
      <c r="M167" s="59" t="s">
        <v>256</v>
      </c>
      <c r="N167" s="58">
        <v>0</v>
      </c>
      <c r="O167" s="58">
        <v>1</v>
      </c>
      <c r="P167" s="58">
        <v>1</v>
      </c>
      <c r="Q167" s="64" t="str">
        <f xml:space="preserve"> IF(co_impactTypes[[#This Row],[econMultiplierName]]="None", "N/A", 2010)</f>
        <v>N/A</v>
      </c>
      <c r="R167" s="65"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5" cm="1">
        <f t="array" ref="S167" xml:space="preserve"> IF( co_impactTypes[[#This Row],[damageAdjName]] = "none", 1, --( SUMPRODUCT( --IF( ISERROR( FIND( co_impactTypes[[#This Row],[damageAdjName]], scalarDataframe[scalarName] ) ), 0, 1 ), --( "damageAdj" = scalarDataframe[scalarType] ) ) &gt;= 1 ) )</f>
        <v>1</v>
      </c>
      <c r="T167" s="65" cm="1">
        <f t="array" ref="T167" xml:space="preserve"> IF( co_impactTypes[[#This Row],[econScalarName]] = "none", 1, --( SUMPRODUCT( --IF( ISERROR( FIND( co_impactTypes[[#This Row],[econScalarName]], scalarDataframe[scalarName] ) ), 0, 1 ), --( "econScalar" = scalarDataframe[scalarType] ) ) &gt;= 1 ) )</f>
        <v>1</v>
      </c>
      <c r="U167" s="65" cm="1">
        <f t="array" ref="U167" xml:space="preserve"> IF( NOT( ISERROR( FIND( co_impactTypes[[#This Row],[physScalarName]], "none, reg_pop" ) ) ), 1, --( SUMPRODUCT( --IF( ISERROR( FIND( co_impactTypes[[#This Row],[physScalarName]], scalarDataframe[scalarName] ) ), 0, 1 ), --( "physScalar" = scalarDataframe[scalarType] ) ) &gt;= 1 ) )</f>
        <v>1</v>
      </c>
    </row>
    <row r="170" spans="1:21" ht="14.5" x14ac:dyDescent="0.35">
      <c r="A170" s="47"/>
      <c r="B170" s="48" t="s">
        <v>1161</v>
      </c>
      <c r="C170" s="48"/>
      <c r="D170" s="48"/>
      <c r="E170" s="48"/>
      <c r="F170" s="48"/>
      <c r="G170" s="48"/>
      <c r="H170" s="48"/>
      <c r="I170" s="48"/>
      <c r="J170" s="48"/>
      <c r="K170" s="48"/>
      <c r="L170" s="48"/>
      <c r="M170" s="48"/>
      <c r="N170" s="48"/>
      <c r="O170" s="48"/>
      <c r="P170" s="48"/>
      <c r="Q170" s="48"/>
      <c r="R170" s="48"/>
      <c r="S170" s="48"/>
      <c r="T170" s="48"/>
      <c r="U170" s="48"/>
    </row>
    <row r="172" spans="1:21" ht="14.5" x14ac:dyDescent="0.35">
      <c r="B172" s="60" t="s">
        <v>780</v>
      </c>
      <c r="C172" s="60" t="s">
        <v>254</v>
      </c>
      <c r="D172" s="60" t="s">
        <v>253</v>
      </c>
      <c r="E172" s="62" t="s">
        <v>813</v>
      </c>
      <c r="F172" s="62" t="s">
        <v>891</v>
      </c>
      <c r="G172" s="62" t="s">
        <v>892</v>
      </c>
      <c r="H172" s="62" t="s">
        <v>817</v>
      </c>
      <c r="I172" s="62" t="s">
        <v>909</v>
      </c>
      <c r="J172" s="60" t="s">
        <v>833</v>
      </c>
      <c r="K172" s="60" t="s">
        <v>1015</v>
      </c>
      <c r="R172" s="8"/>
      <c r="S172" s="8"/>
      <c r="T172" s="8"/>
    </row>
    <row r="173" spans="1:21" ht="21" x14ac:dyDescent="0.35">
      <c r="B173" s="12">
        <f xml:space="preserve"> ROW( co_scalarInfo[[#This Row],[row_id]] ) - ROW( co_scalarInfo[[#Headers],[row_id]] )</f>
        <v>1</v>
      </c>
      <c r="C173" s="57" t="s">
        <v>261</v>
      </c>
      <c r="D173" s="57" t="s">
        <v>260</v>
      </c>
      <c r="E173" s="135" t="s">
        <v>815</v>
      </c>
      <c r="F173" s="135" t="s">
        <v>895</v>
      </c>
      <c r="G173" s="135" t="s">
        <v>894</v>
      </c>
      <c r="H173" s="135">
        <v>2015</v>
      </c>
      <c r="I173" s="136" t="s">
        <v>910</v>
      </c>
      <c r="J173" s="69"/>
      <c r="K173" s="69" cm="1">
        <f t="array" ref="K173" xml:space="preserve"> SUMPRODUCT( --( co_scalarInfo[[#This Row],[scalarName]] = scalarDataframe[scalarName] ) )</f>
        <v>140</v>
      </c>
      <c r="R173"/>
      <c r="S173"/>
      <c r="T173"/>
    </row>
    <row r="174" spans="1:21" ht="21" x14ac:dyDescent="0.35">
      <c r="B174" s="12">
        <f xml:space="preserve"> ROW( co_scalarInfo[[#This Row],[row_id]] ) - ROW( co_scalarInfo[[#Headers],[row_id]] )</f>
        <v>2</v>
      </c>
      <c r="C174" s="63" t="s">
        <v>1003</v>
      </c>
      <c r="D174" s="57" t="s">
        <v>798</v>
      </c>
      <c r="E174" s="135" t="s">
        <v>815</v>
      </c>
      <c r="F174" s="135" t="s">
        <v>895</v>
      </c>
      <c r="G174" s="135" t="s">
        <v>894</v>
      </c>
      <c r="H174" s="137" t="s">
        <v>946</v>
      </c>
      <c r="I174" s="136" t="s">
        <v>910</v>
      </c>
      <c r="J174" s="69"/>
      <c r="K174" s="69" cm="1">
        <f t="array" ref="K174" xml:space="preserve"> SUMPRODUCT( --( co_scalarInfo[[#This Row],[scalarName]] = scalarDataframe[scalarName] ) )</f>
        <v>140</v>
      </c>
      <c r="R174"/>
      <c r="S174"/>
      <c r="T174"/>
    </row>
    <row r="175" spans="1:21" ht="14.5" x14ac:dyDescent="0.35">
      <c r="B175" s="12">
        <f xml:space="preserve"> ROW( co_scalarInfo[[#This Row],[row_id]] ) - ROW( co_scalarInfo[[#Headers],[row_id]] )</f>
        <v>3</v>
      </c>
      <c r="C175" s="63" t="s">
        <v>256</v>
      </c>
      <c r="D175" s="57" t="s">
        <v>915</v>
      </c>
      <c r="E175" s="135" t="s">
        <v>815</v>
      </c>
      <c r="F175" s="135" t="s">
        <v>785</v>
      </c>
      <c r="G175" s="135" t="s">
        <v>893</v>
      </c>
      <c r="H175" s="135" t="s">
        <v>201</v>
      </c>
      <c r="I175" s="136" t="s">
        <v>912</v>
      </c>
      <c r="J175" s="69" t="s">
        <v>916</v>
      </c>
      <c r="K175" s="69" cm="1">
        <f t="array" ref="K175" xml:space="preserve"> SUMPRODUCT( --( co_scalarInfo[[#This Row],[scalarName]] = scalarDataframe[scalarName] ) )</f>
        <v>0</v>
      </c>
      <c r="R175"/>
      <c r="S175"/>
      <c r="T175"/>
    </row>
    <row r="176" spans="1:21" ht="14.5" x14ac:dyDescent="0.35">
      <c r="B176" s="12">
        <f xml:space="preserve"> ROW( co_scalarInfo[[#This Row],[row_id]] ) - ROW( co_scalarInfo[[#Headers],[row_id]] )</f>
        <v>4</v>
      </c>
      <c r="C176" s="63" t="s">
        <v>781</v>
      </c>
      <c r="D176" s="57" t="s">
        <v>799</v>
      </c>
      <c r="E176" s="135" t="s">
        <v>815</v>
      </c>
      <c r="F176" s="135" t="s">
        <v>895</v>
      </c>
      <c r="G176" s="135" t="s">
        <v>893</v>
      </c>
      <c r="H176" s="137" t="s">
        <v>946</v>
      </c>
      <c r="I176" s="136" t="s">
        <v>910</v>
      </c>
      <c r="J176" s="69"/>
      <c r="K176" s="69" cm="1">
        <f t="array" ref="K176" xml:space="preserve"> SUMPRODUCT( --( co_scalarInfo[[#This Row],[scalarName]] = scalarDataframe[scalarName] ) )</f>
        <v>20</v>
      </c>
      <c r="R176"/>
      <c r="S176"/>
      <c r="T176"/>
    </row>
    <row r="177" spans="2:20" ht="42" x14ac:dyDescent="0.35">
      <c r="B177" s="12">
        <f xml:space="preserve"> ROW( co_scalarInfo[[#This Row],[row_id]] ) - ROW( co_scalarInfo[[#Headers],[row_id]] )</f>
        <v>5</v>
      </c>
      <c r="C177" s="63" t="s">
        <v>897</v>
      </c>
      <c r="D177" s="57" t="s">
        <v>900</v>
      </c>
      <c r="E177" s="135" t="s">
        <v>815</v>
      </c>
      <c r="F177" s="135" t="s">
        <v>895</v>
      </c>
      <c r="G177" s="135" t="s">
        <v>894</v>
      </c>
      <c r="H177" s="137" t="s">
        <v>946</v>
      </c>
      <c r="I177" s="136" t="s">
        <v>910</v>
      </c>
      <c r="J177" s="69" t="s">
        <v>899</v>
      </c>
      <c r="K177" s="69" cm="1">
        <f t="array" ref="K177" xml:space="preserve"> SUMPRODUCT( --( co_scalarInfo[[#This Row],[scalarName]] = scalarDataframe[scalarName] ) )</f>
        <v>157</v>
      </c>
      <c r="R177"/>
      <c r="S177"/>
      <c r="T177"/>
    </row>
    <row r="178" spans="2:20" ht="31.5" x14ac:dyDescent="0.35">
      <c r="B178" s="12">
        <f xml:space="preserve"> ROW( co_scalarInfo[[#This Row],[row_id]] ) - ROW( co_scalarInfo[[#Headers],[row_id]] )</f>
        <v>6</v>
      </c>
      <c r="C178" s="63" t="s">
        <v>896</v>
      </c>
      <c r="D178" s="57" t="s">
        <v>901</v>
      </c>
      <c r="E178" s="135" t="s">
        <v>815</v>
      </c>
      <c r="F178" s="135" t="s">
        <v>895</v>
      </c>
      <c r="G178" s="135" t="s">
        <v>894</v>
      </c>
      <c r="H178" s="137" t="s">
        <v>946</v>
      </c>
      <c r="I178" s="136" t="s">
        <v>910</v>
      </c>
      <c r="J178" s="69" t="s">
        <v>898</v>
      </c>
      <c r="K178" s="69" cm="1">
        <f t="array" ref="K178" xml:space="preserve"> SUMPRODUCT( --( co_scalarInfo[[#This Row],[scalarName]] = scalarDataframe[scalarName] ) )</f>
        <v>157</v>
      </c>
      <c r="R178"/>
      <c r="S178"/>
      <c r="T178"/>
    </row>
    <row r="179" spans="2:20" ht="14.5" x14ac:dyDescent="0.35">
      <c r="B179" s="12">
        <f xml:space="preserve"> ROW( co_scalarInfo[[#This Row],[row_id]] ) - ROW( co_scalarInfo[[#Headers],[row_id]] )</f>
        <v>7</v>
      </c>
      <c r="C179" s="63" t="s">
        <v>990</v>
      </c>
      <c r="D179" s="57" t="s">
        <v>992</v>
      </c>
      <c r="E179" s="135" t="s">
        <v>814</v>
      </c>
      <c r="F179" s="135" t="s">
        <v>785</v>
      </c>
      <c r="G179" s="135" t="s">
        <v>893</v>
      </c>
      <c r="H179" s="137" t="s">
        <v>946</v>
      </c>
      <c r="I179" s="136" t="s">
        <v>910</v>
      </c>
      <c r="J179" s="69"/>
      <c r="K179" s="69" cm="1">
        <f t="array" ref="K179" xml:space="preserve"> SUMPRODUCT( --( co_scalarInfo[[#This Row],[scalarName]] = scalarDataframe[scalarName] ) )</f>
        <v>1</v>
      </c>
      <c r="R179"/>
      <c r="S179"/>
      <c r="T179"/>
    </row>
    <row r="180" spans="2:20" ht="14.5" x14ac:dyDescent="0.35">
      <c r="B180" s="12">
        <f xml:space="preserve"> ROW( co_scalarInfo[[#This Row],[row_id]] ) - ROW( co_scalarInfo[[#Headers],[row_id]] )</f>
        <v>8</v>
      </c>
      <c r="C180" s="57" t="s">
        <v>1010</v>
      </c>
      <c r="D180" s="57" t="s">
        <v>767</v>
      </c>
      <c r="E180" s="135" t="s">
        <v>814</v>
      </c>
      <c r="F180" s="135" t="s">
        <v>785</v>
      </c>
      <c r="G180" s="135" t="s">
        <v>893</v>
      </c>
      <c r="H180" s="135">
        <v>2015</v>
      </c>
      <c r="I180" s="136" t="s">
        <v>910</v>
      </c>
      <c r="J180" s="69"/>
      <c r="K180" s="69" cm="1">
        <f t="array" ref="K180" xml:space="preserve"> SUMPRODUCT( --( co_scalarInfo[[#This Row],[scalarName]] = scalarDataframe[scalarName] ) )</f>
        <v>1</v>
      </c>
      <c r="R180"/>
      <c r="S180"/>
      <c r="T180"/>
    </row>
    <row r="181" spans="2:20" ht="21" x14ac:dyDescent="0.35">
      <c r="B181" s="12">
        <f xml:space="preserve"> ROW( co_scalarInfo[[#This Row],[row_id]] ) - ROW( co_scalarInfo[[#Headers],[row_id]] )</f>
        <v>9</v>
      </c>
      <c r="C181" s="63" t="s">
        <v>812</v>
      </c>
      <c r="D181" s="57" t="s">
        <v>791</v>
      </c>
      <c r="E181" s="135" t="s">
        <v>814</v>
      </c>
      <c r="F181" s="135" t="s">
        <v>785</v>
      </c>
      <c r="G181" s="135" t="s">
        <v>893</v>
      </c>
      <c r="H181" s="135">
        <v>2015</v>
      </c>
      <c r="I181" s="136" t="s">
        <v>910</v>
      </c>
      <c r="J181" s="69"/>
      <c r="K181" s="69" cm="1">
        <f t="array" ref="K181" xml:space="preserve"> SUMPRODUCT( --( co_scalarInfo[[#This Row],[scalarName]] = scalarDataframe[scalarName] ) )</f>
        <v>1</v>
      </c>
      <c r="R181"/>
      <c r="S181"/>
      <c r="T181"/>
    </row>
    <row r="182" spans="2:20" ht="21" x14ac:dyDescent="0.3">
      <c r="B182" s="12">
        <f xml:space="preserve"> ROW( co_scalarInfo[[#This Row],[row_id]] ) - ROW( co_scalarInfo[[#Headers],[row_id]] )</f>
        <v>10</v>
      </c>
      <c r="C182" s="63" t="s">
        <v>788</v>
      </c>
      <c r="D182" s="57" t="s">
        <v>787</v>
      </c>
      <c r="E182" s="135" t="s">
        <v>814</v>
      </c>
      <c r="F182" s="135" t="s">
        <v>785</v>
      </c>
      <c r="G182" s="135" t="s">
        <v>893</v>
      </c>
      <c r="H182" s="135">
        <v>2015</v>
      </c>
      <c r="I182" s="136" t="s">
        <v>910</v>
      </c>
      <c r="J182" s="69"/>
      <c r="K182" s="69" cm="1">
        <f t="array" ref="K182" xml:space="preserve"> SUMPRODUCT( --( co_scalarInfo[[#This Row],[scalarName]] = scalarDataframe[scalarName] ) )</f>
        <v>1</v>
      </c>
    </row>
    <row r="183" spans="2:20" ht="21" x14ac:dyDescent="0.3">
      <c r="B183" s="12">
        <f xml:space="preserve"> ROW( co_scalarInfo[[#This Row],[row_id]] ) - ROW( co_scalarInfo[[#Headers],[row_id]] )</f>
        <v>11</v>
      </c>
      <c r="C183" s="63" t="s">
        <v>789</v>
      </c>
      <c r="D183" s="57" t="s">
        <v>790</v>
      </c>
      <c r="E183" s="135" t="s">
        <v>814</v>
      </c>
      <c r="F183" s="135" t="s">
        <v>785</v>
      </c>
      <c r="G183" s="135" t="s">
        <v>893</v>
      </c>
      <c r="H183" s="135">
        <v>2015</v>
      </c>
      <c r="I183" s="136" t="s">
        <v>910</v>
      </c>
      <c r="J183" s="69"/>
      <c r="K183" s="69" cm="1">
        <f t="array" ref="K183" xml:space="preserve"> SUMPRODUCT( --( co_scalarInfo[[#This Row],[scalarName]] = scalarDataframe[scalarName] ) )</f>
        <v>1</v>
      </c>
    </row>
    <row r="184" spans="2:20" x14ac:dyDescent="0.3">
      <c r="B184" s="12">
        <f xml:space="preserve"> ROW( co_scalarInfo[[#This Row],[row_id]] ) - ROW( co_scalarInfo[[#Headers],[row_id]] )</f>
        <v>12</v>
      </c>
      <c r="C184" s="63" t="s">
        <v>256</v>
      </c>
      <c r="D184" s="57" t="s">
        <v>915</v>
      </c>
      <c r="E184" s="135" t="s">
        <v>814</v>
      </c>
      <c r="F184" s="135" t="s">
        <v>785</v>
      </c>
      <c r="G184" s="135" t="s">
        <v>893</v>
      </c>
      <c r="H184" s="135" t="s">
        <v>201</v>
      </c>
      <c r="I184" s="136" t="s">
        <v>912</v>
      </c>
      <c r="J184" s="69" t="s">
        <v>916</v>
      </c>
      <c r="K184" s="69" cm="1">
        <f t="array" ref="K184" xml:space="preserve"> SUMPRODUCT( --( co_scalarInfo[[#This Row],[scalarName]] = scalarDataframe[scalarName] ) )</f>
        <v>0</v>
      </c>
    </row>
    <row r="185" spans="2:20" x14ac:dyDescent="0.3">
      <c r="B185" s="12">
        <f xml:space="preserve"> ROW( co_scalarInfo[[#This Row],[row_id]] ) - ROW( co_scalarInfo[[#Headers],[row_id]] )</f>
        <v>13</v>
      </c>
      <c r="C185" s="63" t="s">
        <v>1225</v>
      </c>
      <c r="D185" s="57" t="s">
        <v>1226</v>
      </c>
      <c r="E185" s="135" t="s">
        <v>814</v>
      </c>
      <c r="F185" s="135" t="s">
        <v>785</v>
      </c>
      <c r="G185" s="135" t="s">
        <v>894</v>
      </c>
      <c r="H185" s="137">
        <v>2015</v>
      </c>
      <c r="I185" s="136"/>
      <c r="J185" s="69"/>
      <c r="K185" s="69" cm="1">
        <f t="array" ref="K185" xml:space="preserve"> SUMPRODUCT( --( co_scalarInfo[[#This Row],[scalarName]] = scalarDataframe[scalarName] ) )</f>
        <v>7</v>
      </c>
    </row>
    <row r="186" spans="2:20" ht="21" x14ac:dyDescent="0.3">
      <c r="B186" s="12">
        <f xml:space="preserve"> ROW( co_scalarInfo[[#This Row],[row_id]] ) - ROW( co_scalarInfo[[#Headers],[row_id]] )</f>
        <v>14</v>
      </c>
      <c r="C186" s="63" t="s">
        <v>991</v>
      </c>
      <c r="D186" s="57" t="s">
        <v>993</v>
      </c>
      <c r="E186" s="135" t="s">
        <v>814</v>
      </c>
      <c r="F186" s="135" t="s">
        <v>785</v>
      </c>
      <c r="G186" s="135" t="s">
        <v>893</v>
      </c>
      <c r="H186" s="137" t="s">
        <v>946</v>
      </c>
      <c r="I186" s="136" t="s">
        <v>910</v>
      </c>
      <c r="J186" s="69"/>
      <c r="K186" s="69" cm="1">
        <f t="array" ref="K186" xml:space="preserve"> SUMPRODUCT( --( co_scalarInfo[[#This Row],[scalarName]] = scalarDataframe[scalarName] ) )</f>
        <v>1</v>
      </c>
    </row>
    <row r="187" spans="2:20" x14ac:dyDescent="0.3">
      <c r="B187" s="12">
        <f xml:space="preserve"> ROW( co_scalarInfo[[#This Row],[row_id]] ) - ROW( co_scalarInfo[[#Headers],[row_id]] )</f>
        <v>15</v>
      </c>
      <c r="C187" s="63" t="s">
        <v>1227</v>
      </c>
      <c r="D187" s="57" t="s">
        <v>1228</v>
      </c>
      <c r="E187" s="135" t="s">
        <v>814</v>
      </c>
      <c r="F187" s="135" t="s">
        <v>785</v>
      </c>
      <c r="G187" s="135" t="s">
        <v>894</v>
      </c>
      <c r="H187" s="137">
        <v>2015</v>
      </c>
      <c r="I187" s="136"/>
      <c r="J187" s="69"/>
      <c r="K187" s="69" cm="1">
        <f t="array" ref="K187" xml:space="preserve"> SUMPRODUCT( --( co_scalarInfo[[#This Row],[scalarName]] = scalarDataframe[scalarName] ) )</f>
        <v>7</v>
      </c>
    </row>
    <row r="188" spans="2:20" x14ac:dyDescent="0.3">
      <c r="B188" s="12">
        <f xml:space="preserve"> ROW( co_scalarInfo[[#This Row],[row_id]] ) - ROW( co_scalarInfo[[#Headers],[row_id]] )</f>
        <v>16</v>
      </c>
      <c r="C188" s="57" t="s">
        <v>786</v>
      </c>
      <c r="D188" s="57" t="s">
        <v>18</v>
      </c>
      <c r="E188" s="135" t="s">
        <v>814</v>
      </c>
      <c r="F188" s="135" t="s">
        <v>785</v>
      </c>
      <c r="G188" s="135" t="s">
        <v>893</v>
      </c>
      <c r="H188" s="135">
        <v>2010</v>
      </c>
      <c r="I188" s="136" t="s">
        <v>910</v>
      </c>
      <c r="J188" s="69"/>
      <c r="K188" s="69" cm="1">
        <f t="array" ref="K188" xml:space="preserve"> SUMPRODUCT( --( co_scalarInfo[[#This Row],[scalarName]] = scalarDataframe[scalarName] ) )</f>
        <v>1</v>
      </c>
    </row>
    <row r="189" spans="2:20" x14ac:dyDescent="0.3">
      <c r="B189" s="12">
        <f xml:space="preserve"> ROW( co_scalarInfo[[#This Row],[row_id]] ) - ROW( co_scalarInfo[[#Headers],[row_id]] )</f>
        <v>17</v>
      </c>
      <c r="C189" s="63" t="s">
        <v>771</v>
      </c>
      <c r="D189" s="57" t="s">
        <v>770</v>
      </c>
      <c r="E189" s="135" t="s">
        <v>814</v>
      </c>
      <c r="F189" s="135" t="s">
        <v>785</v>
      </c>
      <c r="G189" s="135" t="s">
        <v>894</v>
      </c>
      <c r="H189" s="135">
        <v>2015</v>
      </c>
      <c r="I189" s="136" t="s">
        <v>910</v>
      </c>
      <c r="J189" s="69"/>
      <c r="K189" s="69" cm="1">
        <f t="array" ref="K189" xml:space="preserve"> SUMPRODUCT( --( co_scalarInfo[[#This Row],[scalarName]] = scalarDataframe[scalarName] ) )</f>
        <v>7</v>
      </c>
    </row>
    <row r="190" spans="2:20" x14ac:dyDescent="0.3">
      <c r="B190" s="12">
        <f xml:space="preserve"> ROW( co_scalarInfo[[#This Row],[row_id]] ) - ROW( co_scalarInfo[[#Headers],[row_id]] )</f>
        <v>18</v>
      </c>
      <c r="C190" s="63" t="s">
        <v>258</v>
      </c>
      <c r="D190" s="57" t="s">
        <v>793</v>
      </c>
      <c r="E190" s="135" t="s">
        <v>834</v>
      </c>
      <c r="F190" s="135" t="s">
        <v>895</v>
      </c>
      <c r="G190" s="135" t="s">
        <v>894</v>
      </c>
      <c r="H190" s="137" t="s">
        <v>946</v>
      </c>
      <c r="I190" s="136" t="s">
        <v>910</v>
      </c>
      <c r="J190" s="69"/>
      <c r="K190" s="69" cm="1">
        <f t="array" ref="K190" xml:space="preserve"> SUMPRODUCT( --( co_scalarInfo[[#This Row],[scalarName]] = scalarDataframe[scalarName] ) )</f>
        <v>42</v>
      </c>
    </row>
    <row r="191" spans="2:20" x14ac:dyDescent="0.3">
      <c r="B191" s="12">
        <f xml:space="preserve"> ROW( co_scalarInfo[[#This Row],[row_id]] ) - ROW( co_scalarInfo[[#Headers],[row_id]] )</f>
        <v>19</v>
      </c>
      <c r="C191" s="63" t="s">
        <v>256</v>
      </c>
      <c r="D191" s="57" t="s">
        <v>915</v>
      </c>
      <c r="E191" s="135" t="s">
        <v>834</v>
      </c>
      <c r="F191" s="135" t="s">
        <v>785</v>
      </c>
      <c r="G191" s="135" t="s">
        <v>893</v>
      </c>
      <c r="H191" s="135" t="s">
        <v>201</v>
      </c>
      <c r="I191" s="136" t="s">
        <v>912</v>
      </c>
      <c r="J191" s="69" t="s">
        <v>916</v>
      </c>
      <c r="K191" s="69" cm="1">
        <f t="array" ref="K191" xml:space="preserve"> SUMPRODUCT( --( co_scalarInfo[[#This Row],[scalarName]] = scalarDataframe[scalarName] ) )</f>
        <v>0</v>
      </c>
    </row>
    <row r="192" spans="2:20" x14ac:dyDescent="0.3">
      <c r="B192" s="12">
        <f xml:space="preserve"> ROW( co_scalarInfo[[#This Row],[row_id]] ) - ROW( co_scalarInfo[[#Headers],[row_id]] )</f>
        <v>20</v>
      </c>
      <c r="C192" s="63" t="s">
        <v>259</v>
      </c>
      <c r="D192" s="57" t="s">
        <v>795</v>
      </c>
      <c r="E192" s="135" t="s">
        <v>834</v>
      </c>
      <c r="F192" s="135" t="s">
        <v>895</v>
      </c>
      <c r="G192" s="135" t="s">
        <v>894</v>
      </c>
      <c r="H192" s="137" t="s">
        <v>946</v>
      </c>
      <c r="I192" s="136" t="s">
        <v>910</v>
      </c>
      <c r="J192" s="69"/>
      <c r="K192" s="69" cm="1">
        <f t="array" ref="K192" xml:space="preserve"> SUMPRODUCT( --( co_scalarInfo[[#This Row],[scalarName]] = scalarDataframe[scalarName] ) )</f>
        <v>140</v>
      </c>
    </row>
    <row r="193" spans="1:21" ht="21" x14ac:dyDescent="0.3">
      <c r="B193" s="12">
        <f xml:space="preserve"> ROW( co_scalarInfo[[#This Row],[row_id]] ) - ROW( co_scalarInfo[[#Headers],[row_id]] )</f>
        <v>21</v>
      </c>
      <c r="C193" s="63" t="s">
        <v>1011</v>
      </c>
      <c r="D193" s="57" t="s">
        <v>986</v>
      </c>
      <c r="E193" s="135" t="s">
        <v>834</v>
      </c>
      <c r="F193" s="135" t="s">
        <v>785</v>
      </c>
      <c r="G193" s="135" t="s">
        <v>893</v>
      </c>
      <c r="H193" s="137" t="s">
        <v>946</v>
      </c>
      <c r="I193" s="136" t="s">
        <v>910</v>
      </c>
      <c r="J193" s="69"/>
      <c r="K193" s="69" cm="1">
        <f t="array" ref="K193" xml:space="preserve"> SUMPRODUCT( --( co_scalarInfo[[#This Row],[scalarName]] = scalarDataframe[scalarName] ) )</f>
        <v>1</v>
      </c>
    </row>
    <row r="194" spans="1:21" ht="21" x14ac:dyDescent="0.3">
      <c r="B194" s="12">
        <f xml:space="preserve"> ROW( co_scalarInfo[[#This Row],[row_id]] ) - ROW( co_scalarInfo[[#Headers],[row_id]] )</f>
        <v>22</v>
      </c>
      <c r="C194" s="63" t="s">
        <v>988</v>
      </c>
      <c r="D194" s="57" t="s">
        <v>985</v>
      </c>
      <c r="E194" s="135" t="s">
        <v>834</v>
      </c>
      <c r="F194" s="135" t="s">
        <v>785</v>
      </c>
      <c r="G194" s="135" t="s">
        <v>893</v>
      </c>
      <c r="H194" s="137" t="s">
        <v>946</v>
      </c>
      <c r="I194" s="136" t="s">
        <v>910</v>
      </c>
      <c r="J194" s="69"/>
      <c r="K194" s="69" cm="1">
        <f t="array" ref="K194" xml:space="preserve"> SUMPRODUCT( --( co_scalarInfo[[#This Row],[scalarName]] = scalarDataframe[scalarName] ) )</f>
        <v>1</v>
      </c>
    </row>
    <row r="195" spans="1:21" ht="21" x14ac:dyDescent="0.3">
      <c r="B195" s="12">
        <f xml:space="preserve"> ROW( co_scalarInfo[[#This Row],[row_id]] ) - ROW( co_scalarInfo[[#Headers],[row_id]] )</f>
        <v>23</v>
      </c>
      <c r="C195" s="63" t="s">
        <v>989</v>
      </c>
      <c r="D195" s="57" t="s">
        <v>987</v>
      </c>
      <c r="E195" s="135" t="s">
        <v>834</v>
      </c>
      <c r="F195" s="135" t="s">
        <v>785</v>
      </c>
      <c r="G195" s="135" t="s">
        <v>893</v>
      </c>
      <c r="H195" s="137" t="s">
        <v>946</v>
      </c>
      <c r="I195" s="136" t="s">
        <v>910</v>
      </c>
      <c r="J195" s="69"/>
      <c r="K195" s="69" cm="1">
        <f t="array" ref="K195" xml:space="preserve"> SUMPRODUCT( --( co_scalarInfo[[#This Row],[scalarName]] = scalarDataframe[scalarName] ) )</f>
        <v>1</v>
      </c>
    </row>
    <row r="196" spans="1:21" x14ac:dyDescent="0.3">
      <c r="B196" s="12">
        <f xml:space="preserve"> ROW( co_scalarInfo[[#This Row],[row_id]] ) - ROW( co_scalarInfo[[#Headers],[row_id]] )</f>
        <v>24</v>
      </c>
      <c r="C196" s="63" t="s">
        <v>1009</v>
      </c>
      <c r="D196" s="57" t="s">
        <v>1008</v>
      </c>
      <c r="E196" s="135" t="s">
        <v>816</v>
      </c>
      <c r="F196" s="135" t="s">
        <v>895</v>
      </c>
      <c r="G196" s="135" t="s">
        <v>894</v>
      </c>
      <c r="H196" s="137" t="s">
        <v>946</v>
      </c>
      <c r="I196" s="136" t="s">
        <v>910</v>
      </c>
      <c r="J196" s="69"/>
      <c r="K196" s="69" cm="1">
        <f t="array" ref="K196" xml:space="preserve"> SUMPRODUCT( --( co_scalarInfo[[#This Row],[scalarName]] = scalarDataframe[scalarName] ) )</f>
        <v>136</v>
      </c>
    </row>
    <row r="197" spans="1:21" x14ac:dyDescent="0.3">
      <c r="B197" s="12">
        <f xml:space="preserve"> ROW( co_scalarInfo[[#This Row],[row_id]] ) - ROW( co_scalarInfo[[#Headers],[row_id]] )</f>
        <v>25</v>
      </c>
      <c r="C197" s="63" t="s">
        <v>759</v>
      </c>
      <c r="D197" s="57" t="s">
        <v>758</v>
      </c>
      <c r="E197" s="135" t="s">
        <v>816</v>
      </c>
      <c r="F197" s="135" t="s">
        <v>895</v>
      </c>
      <c r="G197" s="135" t="s">
        <v>894</v>
      </c>
      <c r="H197" s="137" t="s">
        <v>946</v>
      </c>
      <c r="I197" s="136" t="s">
        <v>910</v>
      </c>
      <c r="J197" s="69"/>
      <c r="K197" s="69" cm="1">
        <f t="array" ref="K197" xml:space="preserve"> SUMPRODUCT( --( co_scalarInfo[[#This Row],[scalarName]] = scalarDataframe[scalarName] ) )</f>
        <v>119</v>
      </c>
    </row>
    <row r="198" spans="1:21" x14ac:dyDescent="0.3">
      <c r="B198" s="12">
        <f xml:space="preserve"> ROW( co_scalarInfo[[#This Row],[row_id]] ) - ROW( co_scalarInfo[[#Headers],[row_id]] )</f>
        <v>26</v>
      </c>
      <c r="C198" s="63" t="s">
        <v>256</v>
      </c>
      <c r="D198" s="57" t="s">
        <v>915</v>
      </c>
      <c r="E198" s="135" t="s">
        <v>816</v>
      </c>
      <c r="F198" s="135" t="s">
        <v>785</v>
      </c>
      <c r="G198" s="135" t="s">
        <v>893</v>
      </c>
      <c r="H198" s="135" t="s">
        <v>201</v>
      </c>
      <c r="I198" s="136" t="s">
        <v>912</v>
      </c>
      <c r="J198" s="69" t="s">
        <v>916</v>
      </c>
      <c r="K198" s="69" cm="1">
        <f t="array" ref="K198" xml:space="preserve"> SUMPRODUCT( --( co_scalarInfo[[#This Row],[scalarName]] = scalarDataframe[scalarName] ) )</f>
        <v>0</v>
      </c>
    </row>
    <row r="199" spans="1:21" x14ac:dyDescent="0.3">
      <c r="B199" s="12">
        <f xml:space="preserve"> ROW( co_scalarInfo[[#This Row],[row_id]] ) - ROW( co_scalarInfo[[#Headers],[row_id]] )</f>
        <v>27</v>
      </c>
      <c r="C199" s="63" t="s">
        <v>236</v>
      </c>
      <c r="D199" s="57" t="s">
        <v>215</v>
      </c>
      <c r="E199" s="135" t="s">
        <v>816</v>
      </c>
      <c r="F199" s="135" t="s">
        <v>785</v>
      </c>
      <c r="G199" s="135" t="s">
        <v>894</v>
      </c>
      <c r="H199" s="137" t="s">
        <v>946</v>
      </c>
      <c r="I199" s="136" t="s">
        <v>910</v>
      </c>
      <c r="J199" s="69"/>
      <c r="K199" s="69" cm="1">
        <f t="array" ref="K199" xml:space="preserve"> SUMPRODUCT( --( co_scalarInfo[[#This Row],[scalarName]] = scalarDataframe[scalarName] ) )</f>
        <v>8</v>
      </c>
    </row>
    <row r="200" spans="1:21" x14ac:dyDescent="0.3">
      <c r="B200" s="12">
        <f xml:space="preserve"> ROW( co_scalarInfo[[#This Row],[row_id]] ) - ROW( co_scalarInfo[[#Headers],[row_id]] )</f>
        <v>28</v>
      </c>
      <c r="C200" s="63" t="s">
        <v>251</v>
      </c>
      <c r="D200" s="57" t="s">
        <v>211</v>
      </c>
      <c r="E200" s="135" t="s">
        <v>816</v>
      </c>
      <c r="F200" s="135" t="s">
        <v>895</v>
      </c>
      <c r="G200" s="135" t="s">
        <v>894</v>
      </c>
      <c r="H200" s="137" t="s">
        <v>946</v>
      </c>
      <c r="I200" s="136" t="s">
        <v>911</v>
      </c>
      <c r="J200" s="69"/>
      <c r="K200" s="69" cm="1">
        <f t="array" ref="K200" xml:space="preserve"> SUMPRODUCT( --( co_scalarInfo[[#This Row],[scalarName]] = scalarDataframe[scalarName] ) )</f>
        <v>0</v>
      </c>
    </row>
    <row r="201" spans="1:21" x14ac:dyDescent="0.3">
      <c r="B201" s="12">
        <f xml:space="preserve"> ROW( co_scalarInfo[[#This Row],[row_id]] ) - ROW( co_scalarInfo[[#Headers],[row_id]] )</f>
        <v>29</v>
      </c>
      <c r="C201" s="63" t="s">
        <v>250</v>
      </c>
      <c r="D201" s="57" t="s">
        <v>797</v>
      </c>
      <c r="E201" s="135" t="s">
        <v>816</v>
      </c>
      <c r="F201" s="135" t="s">
        <v>785</v>
      </c>
      <c r="G201" s="135" t="s">
        <v>894</v>
      </c>
      <c r="H201" s="137" t="s">
        <v>946</v>
      </c>
      <c r="I201" s="136" t="s">
        <v>910</v>
      </c>
      <c r="J201" s="69"/>
      <c r="K201" s="69" cm="1">
        <f t="array" ref="K201" xml:space="preserve"> SUMPRODUCT( --( co_scalarInfo[[#This Row],[scalarName]] = scalarDataframe[scalarName] ) )</f>
        <v>7</v>
      </c>
    </row>
    <row r="202" spans="1:21" ht="21" x14ac:dyDescent="0.3">
      <c r="B202" s="146">
        <f xml:space="preserve"> ROW( co_scalarInfo[[#This Row],[row_id]] ) - ROW( co_scalarInfo[[#Headers],[row_id]] )</f>
        <v>30</v>
      </c>
      <c r="C202" s="63" t="s">
        <v>1316</v>
      </c>
      <c r="D202" s="57" t="s">
        <v>1317</v>
      </c>
      <c r="E202" s="135" t="s">
        <v>834</v>
      </c>
      <c r="F202" s="135" t="s">
        <v>895</v>
      </c>
      <c r="G202" s="135" t="s">
        <v>894</v>
      </c>
      <c r="H202" s="147" t="s">
        <v>946</v>
      </c>
      <c r="I202" s="148"/>
      <c r="J202" s="69"/>
      <c r="K202" s="149" cm="1">
        <f t="array" ref="K202" xml:space="preserve"> SUMPRODUCT( --( co_scalarInfo[[#This Row],[scalarName]] = scalarDataframe[scalarName] ) )</f>
        <v>182</v>
      </c>
    </row>
    <row r="205" spans="1:21" ht="14.5" x14ac:dyDescent="0.35">
      <c r="A205" s="47"/>
      <c r="B205" s="48" t="s">
        <v>1029</v>
      </c>
      <c r="C205" s="48"/>
      <c r="D205" s="48"/>
      <c r="E205" s="48"/>
      <c r="F205" s="48"/>
      <c r="G205" s="48"/>
      <c r="H205" s="48"/>
      <c r="I205" s="48"/>
      <c r="J205" s="48"/>
      <c r="K205" s="48"/>
      <c r="L205" s="48"/>
      <c r="M205" s="48"/>
      <c r="N205" s="48"/>
      <c r="O205" s="48"/>
      <c r="P205" s="48"/>
      <c r="Q205" s="48"/>
      <c r="R205" s="48"/>
      <c r="S205" s="48"/>
      <c r="T205" s="48"/>
      <c r="U205" s="48"/>
    </row>
    <row r="207" spans="1:21" x14ac:dyDescent="0.3">
      <c r="B207" s="60" t="s">
        <v>780</v>
      </c>
      <c r="C207" s="60" t="s">
        <v>917</v>
      </c>
      <c r="D207" s="60" t="s">
        <v>944</v>
      </c>
      <c r="E207" s="61" t="s">
        <v>817</v>
      </c>
    </row>
    <row r="208" spans="1:21" x14ac:dyDescent="0.3">
      <c r="B208" s="7">
        <f xml:space="preserve"> ROW( co_econMultipliers[[#This Row],[row_id]] ) - ROW( co_econMultipliers[[#Headers],[row_id]] )</f>
        <v>1</v>
      </c>
      <c r="C208" s="14" t="s">
        <v>904</v>
      </c>
      <c r="D208" s="79" t="s">
        <v>913</v>
      </c>
      <c r="E208" s="80">
        <v>2015</v>
      </c>
    </row>
    <row r="209" spans="1:21" x14ac:dyDescent="0.3">
      <c r="B209" s="7">
        <f xml:space="preserve"> ROW( co_econMultipliers[[#This Row],[row_id]] ) - ROW( co_econMultipliers[[#Headers],[row_id]] )</f>
        <v>2</v>
      </c>
      <c r="C209" s="14" t="s">
        <v>257</v>
      </c>
      <c r="D209" s="79" t="s">
        <v>914</v>
      </c>
      <c r="E209" s="80" t="s">
        <v>201</v>
      </c>
    </row>
    <row r="210" spans="1:21" x14ac:dyDescent="0.3">
      <c r="B210" s="7">
        <f xml:space="preserve"> ROW( co_econMultipliers[[#This Row],[row_id]] ) - ROW( co_econMultipliers[[#Headers],[row_id]] )</f>
        <v>3</v>
      </c>
      <c r="C210" s="14" t="s">
        <v>256</v>
      </c>
      <c r="D210" s="79" t="s">
        <v>915</v>
      </c>
      <c r="E210" s="80" t="s">
        <v>201</v>
      </c>
    </row>
    <row r="213" spans="1:21" ht="14.5" x14ac:dyDescent="0.35">
      <c r="A213" s="47"/>
      <c r="B213" s="48" t="s">
        <v>1030</v>
      </c>
      <c r="C213" s="48"/>
      <c r="D213" s="48"/>
      <c r="E213" s="48"/>
      <c r="F213" s="48"/>
      <c r="G213" s="48"/>
      <c r="H213" s="48"/>
      <c r="I213" s="48"/>
      <c r="J213" s="48"/>
      <c r="K213" s="48"/>
      <c r="L213" s="48"/>
      <c r="M213" s="48"/>
      <c r="N213" s="48"/>
      <c r="O213" s="48"/>
      <c r="P213" s="48"/>
      <c r="Q213" s="48"/>
      <c r="R213" s="48"/>
      <c r="S213" s="48"/>
      <c r="T213" s="48"/>
      <c r="U213" s="48"/>
    </row>
    <row r="215" spans="1:21" x14ac:dyDescent="0.3">
      <c r="B215" s="60" t="s">
        <v>780</v>
      </c>
      <c r="C215" s="60" t="s">
        <v>785</v>
      </c>
      <c r="D215" s="60" t="s">
        <v>255</v>
      </c>
    </row>
    <row r="216" spans="1:21" x14ac:dyDescent="0.3">
      <c r="B216" s="7">
        <f xml:space="preserve"> ROW( co_constants[[#This Row],[row_id]] ) - ROW( co_constants[[#Headers],[row_id]] )</f>
        <v>1</v>
      </c>
      <c r="C216" s="14" t="s">
        <v>782</v>
      </c>
      <c r="D216" s="79">
        <f xml:space="preserve"> 10^9</f>
        <v>1000000000</v>
      </c>
    </row>
    <row r="217" spans="1:21" x14ac:dyDescent="0.3">
      <c r="B217" s="7">
        <f xml:space="preserve"> ROW( co_constants[[#This Row],[row_id]] ) - ROW( co_constants[[#Headers],[row_id]] )</f>
        <v>2</v>
      </c>
      <c r="C217" s="14" t="s">
        <v>783</v>
      </c>
      <c r="D217" s="79">
        <f xml:space="preserve"> 10^6</f>
        <v>1000000</v>
      </c>
    </row>
    <row r="218" spans="1:21" x14ac:dyDescent="0.3">
      <c r="B218" s="7">
        <f xml:space="preserve"> ROW( co_constants[[#This Row],[row_id]] ) - ROW( co_constants[[#Headers],[row_id]] )</f>
        <v>3</v>
      </c>
      <c r="C218" s="14" t="s">
        <v>784</v>
      </c>
      <c r="D218" s="79">
        <v>1000</v>
      </c>
    </row>
    <row r="221" spans="1:21" ht="14.5" x14ac:dyDescent="0.35">
      <c r="A221" s="47"/>
      <c r="B221" s="48" t="s">
        <v>1027</v>
      </c>
      <c r="C221" s="48"/>
      <c r="D221" s="48"/>
      <c r="E221" s="48"/>
      <c r="F221" s="48"/>
      <c r="G221" s="48"/>
      <c r="H221" s="48"/>
      <c r="I221" s="48"/>
      <c r="J221" s="48"/>
      <c r="K221" s="48"/>
      <c r="L221" s="48"/>
      <c r="M221" s="48"/>
      <c r="N221" s="48"/>
      <c r="O221" s="48"/>
      <c r="P221" s="48"/>
      <c r="Q221" s="48"/>
      <c r="R221" s="48"/>
      <c r="S221" s="48"/>
      <c r="T221" s="48"/>
      <c r="U221" s="48"/>
    </row>
    <row r="223" spans="1:21" x14ac:dyDescent="0.3">
      <c r="B223" s="72" t="s">
        <v>780</v>
      </c>
      <c r="C223" s="72" t="s">
        <v>959</v>
      </c>
      <c r="D223" s="72" t="s">
        <v>960</v>
      </c>
      <c r="E223" s="73" t="s">
        <v>966</v>
      </c>
      <c r="F223" s="73" t="s">
        <v>968</v>
      </c>
      <c r="G223" s="74" t="s">
        <v>964</v>
      </c>
      <c r="H223" s="74" t="s">
        <v>965</v>
      </c>
      <c r="I223" s="70" t="s">
        <v>973</v>
      </c>
      <c r="J223" s="70" t="s">
        <v>979</v>
      </c>
      <c r="K223" s="70" t="s">
        <v>980</v>
      </c>
      <c r="L223" s="70" t="s">
        <v>974</v>
      </c>
      <c r="M223" s="71" t="s">
        <v>978</v>
      </c>
      <c r="N223" s="71" t="s">
        <v>977</v>
      </c>
    </row>
    <row r="224" spans="1:21" x14ac:dyDescent="0.3">
      <c r="B224" s="7">
        <f xml:space="preserve"> ROW( co_modelTypes[[#This Row],[row_id]] ) - ROW( co_modelTypes[[#Headers],[row_id]] )</f>
        <v>1</v>
      </c>
      <c r="C224" s="14" t="s">
        <v>819</v>
      </c>
      <c r="D224" s="14" t="s">
        <v>958</v>
      </c>
      <c r="E224" s="75" t="s">
        <v>967</v>
      </c>
      <c r="F224" s="75" t="s">
        <v>962</v>
      </c>
      <c r="G224" s="76" t="s">
        <v>956</v>
      </c>
      <c r="H224" s="76" t="s">
        <v>957</v>
      </c>
      <c r="I224" s="77">
        <v>1995</v>
      </c>
      <c r="J224" s="77">
        <v>6</v>
      </c>
      <c r="K224" s="77">
        <v>30</v>
      </c>
      <c r="L224" s="77">
        <v>1</v>
      </c>
      <c r="M224" s="32">
        <v>7</v>
      </c>
      <c r="N224" s="32" cm="1">
        <f t="array" ref="N224" xml:space="preserve"> SUMPRODUCT( --( co_models[modelType] = co_modelTypes[[#This Row],[modelType_id]] ) )</f>
        <v>8</v>
      </c>
    </row>
    <row r="225" spans="1:21" x14ac:dyDescent="0.3">
      <c r="B225" s="7">
        <f xml:space="preserve"> ROW( co_modelTypes[[#This Row],[row_id]] ) - ROW( co_modelTypes[[#Headers],[row_id]] )</f>
        <v>2</v>
      </c>
      <c r="C225" s="14" t="s">
        <v>818</v>
      </c>
      <c r="D225" s="14" t="s">
        <v>961</v>
      </c>
      <c r="E225" s="75" t="s">
        <v>963</v>
      </c>
      <c r="F225" s="75" t="s">
        <v>963</v>
      </c>
      <c r="G225" s="76" t="s">
        <v>818</v>
      </c>
      <c r="H225" s="76" t="s">
        <v>1062</v>
      </c>
      <c r="I225" s="77">
        <v>2000</v>
      </c>
      <c r="J225" s="77">
        <v>250</v>
      </c>
      <c r="K225" s="77">
        <v>1000</v>
      </c>
      <c r="L225" s="77">
        <v>25</v>
      </c>
      <c r="M225" s="32">
        <v>6</v>
      </c>
      <c r="N225" s="32" cm="1">
        <f t="array" ref="N225" xml:space="preserve"> SUMPRODUCT( --( co_models[modelType] = co_modelTypes[[#This Row],[modelType_id]] ) )</f>
        <v>6</v>
      </c>
    </row>
    <row r="228" spans="1:21" ht="14.5" x14ac:dyDescent="0.35">
      <c r="A228" s="47"/>
      <c r="B228" s="48" t="s">
        <v>1035</v>
      </c>
      <c r="C228" s="48"/>
      <c r="D228" s="48"/>
      <c r="E228" s="48"/>
      <c r="F228" s="48"/>
      <c r="G228" s="48"/>
      <c r="H228" s="48"/>
      <c r="I228" s="48"/>
      <c r="J228" s="48"/>
      <c r="K228" s="48"/>
      <c r="L228" s="48"/>
      <c r="M228" s="48"/>
      <c r="N228" s="48"/>
      <c r="O228" s="48"/>
      <c r="P228" s="48"/>
      <c r="Q228" s="48"/>
      <c r="R228" s="48"/>
      <c r="S228" s="48"/>
      <c r="T228" s="48"/>
      <c r="U228" s="48"/>
    </row>
    <row r="230" spans="1:21" x14ac:dyDescent="0.3">
      <c r="B230" s="78" t="s">
        <v>780</v>
      </c>
      <c r="C230" s="60" t="s">
        <v>905</v>
      </c>
      <c r="D230" s="60" t="s">
        <v>890</v>
      </c>
      <c r="E230" s="60" t="s">
        <v>906</v>
      </c>
      <c r="F230" s="61" t="s">
        <v>907</v>
      </c>
      <c r="G230" s="61" t="s">
        <v>955</v>
      </c>
    </row>
    <row r="231" spans="1:21" x14ac:dyDescent="0.3">
      <c r="B231" s="7">
        <f xml:space="preserve"> ROW( co_models[[#This Row],[row_id]] ) - ROW( co_models[[#Headers],[row_id]] )</f>
        <v>1</v>
      </c>
      <c r="C231" s="79" t="s">
        <v>0</v>
      </c>
      <c r="D231" s="79" t="s">
        <v>819</v>
      </c>
      <c r="E231" s="60" t="str">
        <f xml:space="preserve"> IF( co_models[[#This Row],[modelType]] = "gcm", SUBSTITUTE( SUBSTITUTE( co_models[[#This Row],[model_id]], " ", "." ), "-", "." ),
         VALUE( SUBSTITUTE( co_models[[#This Row],[model_id]], "p", "." ) ) * 100 &amp; "cm" )</f>
        <v>CanESM2</v>
      </c>
      <c r="F231" s="61" t="str">
        <f xml:space="preserve"> SUBSTITUTE( co_models[[#This Row],[model_dot]], ".", "_" )</f>
        <v>CanESM2</v>
      </c>
      <c r="G231" s="61" t="str">
        <f xml:space="preserve"> IF( co_models[[#This Row],[modelType]] = "gcm", co_models[[#This Row],[model_id]], SUBSTITUTE( co_models[[#This Row],[model_dot]], "cm", " cm" ) )</f>
        <v>CanESM2</v>
      </c>
    </row>
    <row r="232" spans="1:21" x14ac:dyDescent="0.3">
      <c r="B232" s="7">
        <f xml:space="preserve"> ROW( co_models[[#This Row],[row_id]] ) - ROW( co_models[[#Headers],[row_id]] )</f>
        <v>2</v>
      </c>
      <c r="C232" s="79" t="s">
        <v>1</v>
      </c>
      <c r="D232" s="79" t="s">
        <v>819</v>
      </c>
      <c r="E232" s="60" t="str">
        <f xml:space="preserve"> IF( co_models[[#This Row],[modelType]] = "gcm", SUBSTITUTE( SUBSTITUTE( co_models[[#This Row],[model_id]], " ", "." ), "-", "." ),
         VALUE( SUBSTITUTE( co_models[[#This Row],[model_id]], "p", "." ) ) * 100 &amp; "cm" )</f>
        <v>CCSM4</v>
      </c>
      <c r="F232" s="61" t="str">
        <f xml:space="preserve"> SUBSTITUTE( co_models[[#This Row],[model_dot]], ".", "_" )</f>
        <v>CCSM4</v>
      </c>
      <c r="G232" s="61" t="str">
        <f xml:space="preserve"> IF( co_models[[#This Row],[modelType]] = "gcm", co_models[[#This Row],[model_id]], SUBSTITUTE( co_models[[#This Row],[model_dot]], "cm", " cm" ) )</f>
        <v>CCSM4</v>
      </c>
    </row>
    <row r="233" spans="1:21" x14ac:dyDescent="0.3">
      <c r="B233" s="7">
        <f xml:space="preserve"> ROW( co_models[[#This Row],[row_id]] ) - ROW( co_models[[#Headers],[row_id]] )</f>
        <v>3</v>
      </c>
      <c r="C233" s="79" t="s">
        <v>2</v>
      </c>
      <c r="D233" s="79" t="s">
        <v>819</v>
      </c>
      <c r="E233" s="60" t="str">
        <f xml:space="preserve"> IF( co_models[[#This Row],[modelType]] = "gcm", SUBSTITUTE( SUBSTITUTE( co_models[[#This Row],[model_id]], " ", "." ), "-", "." ),
         VALUE( SUBSTITUTE( co_models[[#This Row],[model_id]], "p", "." ) ) * 100 &amp; "cm" )</f>
        <v>GISS.E2.R</v>
      </c>
      <c r="F233" s="61" t="str">
        <f xml:space="preserve"> SUBSTITUTE( co_models[[#This Row],[model_dot]], ".", "_" )</f>
        <v>GISS_E2_R</v>
      </c>
      <c r="G233" s="61" t="str">
        <f xml:space="preserve"> IF( co_models[[#This Row],[modelType]] = "gcm", co_models[[#This Row],[model_id]], SUBSTITUTE( co_models[[#This Row],[model_dot]], "cm", " cm" ) )</f>
        <v>GISS-E2-R</v>
      </c>
    </row>
    <row r="234" spans="1:21" x14ac:dyDescent="0.3">
      <c r="B234" s="7">
        <f xml:space="preserve"> ROW( co_models[[#This Row],[row_id]] ) - ROW( co_models[[#Headers],[row_id]] )</f>
        <v>4</v>
      </c>
      <c r="C234" s="79" t="s">
        <v>3</v>
      </c>
      <c r="D234" s="79" t="s">
        <v>819</v>
      </c>
      <c r="E234" s="60" t="str">
        <f xml:space="preserve"> IF( co_models[[#This Row],[modelType]] = "gcm", SUBSTITUTE( SUBSTITUTE( co_models[[#This Row],[model_id]], " ", "." ), "-", "." ),
         VALUE( SUBSTITUTE( co_models[[#This Row],[model_id]], "p", "." ) ) * 100 &amp; "cm" )</f>
        <v>HadGEM2.ES</v>
      </c>
      <c r="F234" s="61" t="str">
        <f xml:space="preserve"> SUBSTITUTE( co_models[[#This Row],[model_dot]], ".", "_" )</f>
        <v>HadGEM2_ES</v>
      </c>
      <c r="G234" s="61" t="str">
        <f xml:space="preserve"> IF( co_models[[#This Row],[modelType]] = "gcm", co_models[[#This Row],[model_id]], SUBSTITUTE( co_models[[#This Row],[model_dot]], "cm", " cm" ) )</f>
        <v>HadGEM2-ES</v>
      </c>
    </row>
    <row r="235" spans="1:21" x14ac:dyDescent="0.3">
      <c r="B235" s="7">
        <f xml:space="preserve"> ROW( co_models[[#This Row],[row_id]] ) - ROW( co_models[[#Headers],[row_id]] )</f>
        <v>5</v>
      </c>
      <c r="C235" s="79" t="s">
        <v>4</v>
      </c>
      <c r="D235" s="79" t="s">
        <v>819</v>
      </c>
      <c r="E235" s="60" t="str">
        <f xml:space="preserve"> IF( co_models[[#This Row],[modelType]] = "gcm", SUBSTITUTE( SUBSTITUTE( co_models[[#This Row],[model_id]], " ", "." ), "-", "." ),
         VALUE( SUBSTITUTE( co_models[[#This Row],[model_id]], "p", "." ) ) * 100 &amp; "cm" )</f>
        <v>MIROC5</v>
      </c>
      <c r="F235" s="61" t="str">
        <f xml:space="preserve"> SUBSTITUTE( co_models[[#This Row],[model_dot]], ".", "_" )</f>
        <v>MIROC5</v>
      </c>
      <c r="G235" s="61" t="str">
        <f xml:space="preserve"> IF( co_models[[#This Row],[modelType]] = "gcm", co_models[[#This Row],[model_id]], SUBSTITUTE( co_models[[#This Row],[model_dot]], "cm", " cm" ) )</f>
        <v>MIROC5</v>
      </c>
    </row>
    <row r="236" spans="1:21" x14ac:dyDescent="0.3">
      <c r="B236" s="7">
        <f xml:space="preserve"> ROW( co_models[[#This Row],[row_id]] ) - ROW( co_models[[#Headers],[row_id]] )</f>
        <v>6</v>
      </c>
      <c r="C236" s="79" t="s">
        <v>5</v>
      </c>
      <c r="D236" s="79" t="s">
        <v>819</v>
      </c>
      <c r="E236" s="60" t="str">
        <f xml:space="preserve"> IF( co_models[[#This Row],[modelType]] = "gcm", SUBSTITUTE( SUBSTITUTE( co_models[[#This Row],[model_id]], " ", "." ), "-", "." ),
         VALUE( SUBSTITUTE( co_models[[#This Row],[model_id]], "p", "." ) ) * 100 &amp; "cm" )</f>
        <v>GFDL.CM3</v>
      </c>
      <c r="F236" s="61" t="str">
        <f xml:space="preserve"> SUBSTITUTE( co_models[[#This Row],[model_dot]], ".", "_" )</f>
        <v>GFDL_CM3</v>
      </c>
      <c r="G236" s="61" t="str">
        <f xml:space="preserve"> IF( co_models[[#This Row],[modelType]] = "gcm", co_models[[#This Row],[model_id]], SUBSTITUTE( co_models[[#This Row],[model_dot]], "cm", " cm" ) )</f>
        <v>GFDL-CM3</v>
      </c>
    </row>
    <row r="237" spans="1:21" x14ac:dyDescent="0.3">
      <c r="B237" s="7">
        <f xml:space="preserve"> ROW( co_models[[#This Row],[row_id]] ) - ROW( co_models[[#Headers],[row_id]] )</f>
        <v>7</v>
      </c>
      <c r="C237" s="79" t="s">
        <v>1089</v>
      </c>
      <c r="D237" s="79" t="s">
        <v>819</v>
      </c>
      <c r="E237" s="60" t="str">
        <f xml:space="preserve"> IF( co_models[[#This Row],[modelType]] = "gcm", SUBSTITUTE( SUBSTITUTE( co_models[[#This Row],[model_id]], " ", "." ), "-", "." ),
         VALUE( SUBSTITUTE( co_models[[#This Row],[model_id]], "p", "." ) ) * 100 &amp; "cm" )</f>
        <v>MRI.CGCM3</v>
      </c>
      <c r="F237" s="61" t="str">
        <f xml:space="preserve"> SUBSTITUTE( co_models[[#This Row],[model_dot]], ".", "_" )</f>
        <v>MRI_CGCM3</v>
      </c>
      <c r="G237" s="61" t="str">
        <f xml:space="preserve"> IF( co_models[[#This Row],[modelType]] = "gcm", co_models[[#This Row],[model_id]], SUBSTITUTE( co_models[[#This Row],[model_dot]], "cm", " cm" ) )</f>
        <v>MRI-CGCM3</v>
      </c>
    </row>
    <row r="238" spans="1:21" x14ac:dyDescent="0.3">
      <c r="B238" s="7">
        <f xml:space="preserve"> ROW( co_models[[#This Row],[row_id]] ) - ROW( co_models[[#Headers],[row_id]] )</f>
        <v>8</v>
      </c>
      <c r="C238" s="79" t="s">
        <v>1087</v>
      </c>
      <c r="D238" s="79" t="s">
        <v>819</v>
      </c>
      <c r="E238" s="60" t="str">
        <f xml:space="preserve"> IF( co_models[[#This Row],[modelType]] = "gcm", SUBSTITUTE( SUBSTITUTE( co_models[[#This Row],[model_id]], " ", "." ), "-", "." ),
         VALUE( SUBSTITUTE( co_models[[#This Row],[model_id]], "p", "." ) ) * 100 &amp; "cm" )</f>
        <v>GCM.Ensemble</v>
      </c>
      <c r="F238" s="61" t="str">
        <f xml:space="preserve"> SUBSTITUTE( co_models[[#This Row],[model_dot]], ".", "_" )</f>
        <v>GCM_Ensemble</v>
      </c>
      <c r="G238" s="61" t="str">
        <f xml:space="preserve"> IF( co_models[[#This Row],[modelType]] = "gcm", co_models[[#This Row],[model_id]], SUBSTITUTE( co_models[[#This Row],[model_dot]], "cm", " cm" ) )</f>
        <v>GCM Ensemble</v>
      </c>
    </row>
    <row r="239" spans="1:21" x14ac:dyDescent="0.3">
      <c r="B239" s="7">
        <f xml:space="preserve"> ROW( co_models[[#This Row],[row_id]] ) - ROW( co_models[[#Headers],[row_id]] )</f>
        <v>9</v>
      </c>
      <c r="C239" s="79" t="s">
        <v>948</v>
      </c>
      <c r="D239" s="79" t="s">
        <v>818</v>
      </c>
      <c r="E239" s="61" t="str">
        <f xml:space="preserve"> IF( co_models[[#This Row],[modelType]] = "gcm", SUBSTITUTE( SUBSTITUTE( co_models[[#This Row],[model_id]], " ", "." ), "-", "." ),
         VALUE( SUBSTITUTE( co_models[[#This Row],[model_id]], "p", "." ) ) * 100 &amp; "cm" )</f>
        <v>30cm</v>
      </c>
      <c r="F239" s="61" t="str">
        <f xml:space="preserve"> SUBSTITUTE( co_models[[#This Row],[model_dot]], ".", "_" )</f>
        <v>30cm</v>
      </c>
      <c r="G239" s="61" t="str">
        <f xml:space="preserve"> IF( co_models[[#This Row],[modelType]] = "gcm", co_models[[#This Row],[model_id]], SUBSTITUTE( co_models[[#This Row],[model_dot]], "cm", " cm" ) )</f>
        <v>30 cm</v>
      </c>
    </row>
    <row r="240" spans="1:21" x14ac:dyDescent="0.3">
      <c r="B240" s="7">
        <f xml:space="preserve"> ROW( co_models[[#This Row],[row_id]] ) - ROW( co_models[[#Headers],[row_id]] )</f>
        <v>10</v>
      </c>
      <c r="C240" s="79" t="s">
        <v>949</v>
      </c>
      <c r="D240" s="79" t="s">
        <v>818</v>
      </c>
      <c r="E240" s="61" t="str">
        <f xml:space="preserve"> IF( co_models[[#This Row],[modelType]] = "gcm", SUBSTITUTE( SUBSTITUTE( co_models[[#This Row],[model_id]], " ", "." ), "-", "." ),
         VALUE( SUBSTITUTE( co_models[[#This Row],[model_id]], "p", "." ) ) * 100 &amp; "cm" )</f>
        <v>50cm</v>
      </c>
      <c r="F240" s="61" t="str">
        <f xml:space="preserve"> SUBSTITUTE( co_models[[#This Row],[model_dot]], ".", "_" )</f>
        <v>50cm</v>
      </c>
      <c r="G240" s="61" t="str">
        <f xml:space="preserve"> IF( co_models[[#This Row],[modelType]] = "gcm", co_models[[#This Row],[model_id]], SUBSTITUTE( co_models[[#This Row],[model_dot]], "cm", " cm" ) )</f>
        <v>50 cm</v>
      </c>
    </row>
    <row r="241" spans="1:21" x14ac:dyDescent="0.3">
      <c r="B241" s="7">
        <f xml:space="preserve"> ROW( co_models[[#This Row],[row_id]] ) - ROW( co_models[[#Headers],[row_id]] )</f>
        <v>11</v>
      </c>
      <c r="C241" s="79" t="s">
        <v>950</v>
      </c>
      <c r="D241" s="79" t="s">
        <v>818</v>
      </c>
      <c r="E241" s="61" t="str">
        <f xml:space="preserve"> IF( co_models[[#This Row],[modelType]] = "gcm", SUBSTITUTE( SUBSTITUTE( co_models[[#This Row],[model_id]], " ", "." ), "-", "." ),
         VALUE( SUBSTITUTE( co_models[[#This Row],[model_id]], "p", "." ) ) * 100 &amp; "cm" )</f>
        <v>100cm</v>
      </c>
      <c r="F241" s="61" t="str">
        <f xml:space="preserve"> SUBSTITUTE( co_models[[#This Row],[model_dot]], ".", "_" )</f>
        <v>100cm</v>
      </c>
      <c r="G241" s="61" t="str">
        <f xml:space="preserve"> IF( co_models[[#This Row],[modelType]] = "gcm", co_models[[#This Row],[model_id]], SUBSTITUTE( co_models[[#This Row],[model_dot]], "cm", " cm" ) )</f>
        <v>100 cm</v>
      </c>
    </row>
    <row r="242" spans="1:21" x14ac:dyDescent="0.3">
      <c r="B242" s="7">
        <f xml:space="preserve"> ROW( co_models[[#This Row],[row_id]] ) - ROW( co_models[[#Headers],[row_id]] )</f>
        <v>12</v>
      </c>
      <c r="C242" s="79" t="s">
        <v>951</v>
      </c>
      <c r="D242" s="79" t="s">
        <v>818</v>
      </c>
      <c r="E242" s="61" t="str">
        <f xml:space="preserve"> IF( co_models[[#This Row],[modelType]] = "gcm", SUBSTITUTE( SUBSTITUTE( co_models[[#This Row],[model_id]], " ", "." ), "-", "." ),
         VALUE( SUBSTITUTE( co_models[[#This Row],[model_id]], "p", "." ) ) * 100 &amp; "cm" )</f>
        <v>150cm</v>
      </c>
      <c r="F242" s="61" t="str">
        <f xml:space="preserve"> SUBSTITUTE( co_models[[#This Row],[model_dot]], ".", "_" )</f>
        <v>150cm</v>
      </c>
      <c r="G242" s="61" t="str">
        <f xml:space="preserve"> IF( co_models[[#This Row],[modelType]] = "gcm", co_models[[#This Row],[model_id]], SUBSTITUTE( co_models[[#This Row],[model_dot]], "cm", " cm" ) )</f>
        <v>150 cm</v>
      </c>
    </row>
    <row r="243" spans="1:21" x14ac:dyDescent="0.3">
      <c r="B243" s="7">
        <f xml:space="preserve"> ROW( co_models[[#This Row],[row_id]] ) - ROW( co_models[[#Headers],[row_id]] )</f>
        <v>13</v>
      </c>
      <c r="C243" s="79" t="s">
        <v>952</v>
      </c>
      <c r="D243" s="79" t="s">
        <v>818</v>
      </c>
      <c r="E243" s="61" t="str">
        <f xml:space="preserve"> IF( co_models[[#This Row],[modelType]] = "gcm", SUBSTITUTE( SUBSTITUTE( co_models[[#This Row],[model_id]], " ", "." ), "-", "." ),
         VALUE( SUBSTITUTE( co_models[[#This Row],[model_id]], "p", "." ) ) * 100 &amp; "cm" )</f>
        <v>200cm</v>
      </c>
      <c r="F243" s="61" t="str">
        <f xml:space="preserve"> SUBSTITUTE( co_models[[#This Row],[model_dot]], ".", "_" )</f>
        <v>200cm</v>
      </c>
      <c r="G243" s="61" t="str">
        <f xml:space="preserve"> IF( co_models[[#This Row],[modelType]] = "gcm", co_models[[#This Row],[model_id]], SUBSTITUTE( co_models[[#This Row],[model_dot]], "cm", " cm" ) )</f>
        <v>200 cm</v>
      </c>
    </row>
    <row r="244" spans="1:21" x14ac:dyDescent="0.3">
      <c r="B244" s="7">
        <f xml:space="preserve"> ROW( co_models[[#This Row],[row_id]] ) - ROW( co_models[[#Headers],[row_id]] )</f>
        <v>14</v>
      </c>
      <c r="C244" s="79" t="s">
        <v>953</v>
      </c>
      <c r="D244" s="79" t="s">
        <v>818</v>
      </c>
      <c r="E244" s="61" t="str">
        <f xml:space="preserve"> IF( co_models[[#This Row],[modelType]] = "gcm", SUBSTITUTE( SUBSTITUTE( co_models[[#This Row],[model_id]], " ", "." ), "-", "." ),
         VALUE( SUBSTITUTE( co_models[[#This Row],[model_id]], "p", "." ) ) * 100 &amp; "cm" )</f>
        <v>250cm</v>
      </c>
      <c r="F244" s="61" t="str">
        <f xml:space="preserve"> SUBSTITUTE( co_models[[#This Row],[model_dot]], ".", "_" )</f>
        <v>250cm</v>
      </c>
      <c r="G244" s="61" t="str">
        <f xml:space="preserve"> IF( co_models[[#This Row],[modelType]] = "gcm", co_models[[#This Row],[model_id]], SUBSTITUTE( co_models[[#This Row],[model_dot]], "cm", " cm" ) )</f>
        <v>250 cm</v>
      </c>
    </row>
    <row r="247" spans="1:21" ht="14.5" x14ac:dyDescent="0.35">
      <c r="A247" s="47"/>
      <c r="B247" s="48" t="s">
        <v>233</v>
      </c>
      <c r="C247" s="48"/>
      <c r="D247" s="48"/>
      <c r="E247" s="48"/>
      <c r="F247" s="48"/>
      <c r="G247" s="48"/>
      <c r="H247" s="48"/>
      <c r="I247" s="48"/>
      <c r="J247" s="48"/>
      <c r="K247" s="48"/>
      <c r="L247" s="48"/>
      <c r="M247" s="48"/>
      <c r="N247" s="48"/>
      <c r="O247" s="48"/>
      <c r="P247" s="48"/>
      <c r="Q247" s="48"/>
      <c r="R247" s="48"/>
      <c r="S247" s="48"/>
      <c r="T247" s="48"/>
      <c r="U247" s="48"/>
    </row>
    <row r="249" spans="1:21" x14ac:dyDescent="0.3">
      <c r="B249" s="78" t="s">
        <v>780</v>
      </c>
      <c r="C249" s="60" t="s">
        <v>234</v>
      </c>
      <c r="D249" s="60" t="s">
        <v>820</v>
      </c>
      <c r="E249" s="61" t="s">
        <v>821</v>
      </c>
    </row>
    <row r="250" spans="1:21" x14ac:dyDescent="0.3">
      <c r="B250" s="7">
        <f xml:space="preserve"> ROW( co_regions[[#This Row],[row_id]] ) - ROW( co_regions[[#Headers],[row_id]] )</f>
        <v>1</v>
      </c>
      <c r="C250" s="79" t="s">
        <v>6</v>
      </c>
      <c r="D250" s="60" t="str">
        <f xml:space="preserve"> SUBSTITUTE( co_regions[[#This Row],[region_label]], " ", "." )</f>
        <v>Midwest</v>
      </c>
      <c r="E250" s="61" t="str">
        <f xml:space="preserve"> SUBSTITUTE( co_regions[[#This Row],[region_label]], " ", "_" )</f>
        <v>Midwest</v>
      </c>
    </row>
    <row r="251" spans="1:21" x14ac:dyDescent="0.3">
      <c r="B251" s="7">
        <f xml:space="preserve"> ROW( co_regions[[#This Row],[row_id]] ) - ROW( co_regions[[#Headers],[row_id]] )</f>
        <v>2</v>
      </c>
      <c r="C251" s="79" t="s">
        <v>7</v>
      </c>
      <c r="D251" s="60" t="str">
        <f xml:space="preserve"> SUBSTITUTE( co_regions[[#This Row],[region_label]], " ", "." )</f>
        <v>Northeast</v>
      </c>
      <c r="E251" s="61" t="str">
        <f xml:space="preserve"> SUBSTITUTE( co_regions[[#This Row],[region_label]], " ", "_" )</f>
        <v>Northeast</v>
      </c>
    </row>
    <row r="252" spans="1:21" x14ac:dyDescent="0.3">
      <c r="B252" s="7">
        <f xml:space="preserve"> ROW( co_regions[[#This Row],[row_id]] ) - ROW( co_regions[[#Headers],[row_id]] )</f>
        <v>3</v>
      </c>
      <c r="C252" s="79" t="s">
        <v>8</v>
      </c>
      <c r="D252" s="60" t="str">
        <f xml:space="preserve"> SUBSTITUTE( co_regions[[#This Row],[region_label]], " ", "." )</f>
        <v>Northern.Plains</v>
      </c>
      <c r="E252" s="61" t="str">
        <f xml:space="preserve"> SUBSTITUTE( co_regions[[#This Row],[region_label]], " ", "_" )</f>
        <v>Northern_Plains</v>
      </c>
    </row>
    <row r="253" spans="1:21" x14ac:dyDescent="0.3">
      <c r="B253" s="7">
        <f xml:space="preserve"> ROW( co_regions[[#This Row],[row_id]] ) - ROW( co_regions[[#Headers],[row_id]] )</f>
        <v>4</v>
      </c>
      <c r="C253" s="79" t="s">
        <v>9</v>
      </c>
      <c r="D253" s="60" t="str">
        <f xml:space="preserve"> SUBSTITUTE( co_regions[[#This Row],[region_label]], " ", "." )</f>
        <v>Northwest</v>
      </c>
      <c r="E253" s="61" t="str">
        <f xml:space="preserve"> SUBSTITUTE( co_regions[[#This Row],[region_label]], " ", "_" )</f>
        <v>Northwest</v>
      </c>
    </row>
    <row r="254" spans="1:21" x14ac:dyDescent="0.3">
      <c r="B254" s="7">
        <f xml:space="preserve"> ROW( co_regions[[#This Row],[row_id]] ) - ROW( co_regions[[#Headers],[row_id]] )</f>
        <v>5</v>
      </c>
      <c r="C254" s="79" t="s">
        <v>10</v>
      </c>
      <c r="D254" s="60" t="str">
        <f xml:space="preserve"> SUBSTITUTE( co_regions[[#This Row],[region_label]], " ", "." )</f>
        <v>Southeast</v>
      </c>
      <c r="E254" s="61" t="str">
        <f xml:space="preserve"> SUBSTITUTE( co_regions[[#This Row],[region_label]], " ", "_" )</f>
        <v>Southeast</v>
      </c>
    </row>
    <row r="255" spans="1:21" x14ac:dyDescent="0.3">
      <c r="B255" s="7">
        <f xml:space="preserve"> ROW( co_regions[[#This Row],[row_id]] ) - ROW( co_regions[[#Headers],[row_id]] )</f>
        <v>6</v>
      </c>
      <c r="C255" s="79" t="s">
        <v>11</v>
      </c>
      <c r="D255" s="60" t="str">
        <f xml:space="preserve"> SUBSTITUTE( co_regions[[#This Row],[region_label]], " ", "." )</f>
        <v>Southern.Plains</v>
      </c>
      <c r="E255" s="61" t="str">
        <f xml:space="preserve"> SUBSTITUTE( co_regions[[#This Row],[region_label]], " ", "_" )</f>
        <v>Southern_Plains</v>
      </c>
    </row>
    <row r="256" spans="1:21" x14ac:dyDescent="0.3">
      <c r="B256" s="7">
        <f xml:space="preserve"> ROW( co_regions[[#This Row],[row_id]] ) - ROW( co_regions[[#Headers],[row_id]] )</f>
        <v>7</v>
      </c>
      <c r="C256" s="79" t="s">
        <v>12</v>
      </c>
      <c r="D256" s="60" t="str">
        <f xml:space="preserve"> SUBSTITUTE( co_regions[[#This Row],[region_label]], " ", "." )</f>
        <v>Southwest</v>
      </c>
      <c r="E256" s="61" t="str">
        <f xml:space="preserve"> SUBSTITUTE( co_regions[[#This Row],[region_label]], " ", "_" )</f>
        <v>Southwest</v>
      </c>
    </row>
    <row r="259" spans="1:21" ht="14.5" x14ac:dyDescent="0.35">
      <c r="A259" s="47"/>
      <c r="B259" s="48" t="s">
        <v>1044</v>
      </c>
      <c r="C259" s="48"/>
      <c r="D259" s="48"/>
      <c r="E259" s="48"/>
      <c r="F259" s="48"/>
      <c r="G259" s="48"/>
      <c r="H259" s="48"/>
      <c r="I259" s="48"/>
      <c r="J259" s="48"/>
      <c r="K259" s="48"/>
      <c r="L259" s="48"/>
      <c r="M259" s="48"/>
      <c r="N259" s="48"/>
      <c r="O259" s="48"/>
      <c r="P259" s="48"/>
      <c r="Q259" s="48"/>
      <c r="R259" s="48"/>
      <c r="S259" s="48"/>
      <c r="T259" s="48"/>
      <c r="U259" s="48"/>
    </row>
    <row r="261" spans="1:21" x14ac:dyDescent="0.3">
      <c r="B261" s="60" t="s">
        <v>780</v>
      </c>
      <c r="C261" s="60" t="s">
        <v>1045</v>
      </c>
      <c r="D261" s="60" t="s">
        <v>1049</v>
      </c>
      <c r="E261" s="60" t="s">
        <v>1055</v>
      </c>
      <c r="F261" s="60" t="s">
        <v>1070</v>
      </c>
      <c r="G261" s="60" t="s">
        <v>1069</v>
      </c>
      <c r="H261" s="62" t="s">
        <v>1052</v>
      </c>
      <c r="I261" s="62" t="s">
        <v>1060</v>
      </c>
      <c r="J261" s="62" t="s">
        <v>1061</v>
      </c>
      <c r="K261" s="62" t="s">
        <v>1063</v>
      </c>
      <c r="L261" s="62" t="s">
        <v>218</v>
      </c>
    </row>
    <row r="262" spans="1:21" x14ac:dyDescent="0.3">
      <c r="B262" s="7">
        <f xml:space="preserve"> ROW( co_inputScenarioInfo[[#This Row],[row_id]] ) - ROW( co_inputScenarioInfo[[#Headers],[row_id]] )</f>
        <v>1</v>
      </c>
      <c r="C262" s="14" t="s">
        <v>1046</v>
      </c>
      <c r="D262" s="79" t="s">
        <v>956</v>
      </c>
      <c r="E262" s="79" t="s">
        <v>1056</v>
      </c>
      <c r="F262" s="79" t="str">
        <f xml:space="preserve"> co_inputScenarioInfo[[#This Row],[inputName]] &amp; "file"</f>
        <v>tempfile</v>
      </c>
      <c r="G262" s="79" t="str">
        <f xml:space="preserve"> co_inputScenarioInfo[[#This Row],[inputName]] &amp; "Input"</f>
        <v>tempInput</v>
      </c>
      <c r="H262" s="62" t="s">
        <v>962</v>
      </c>
      <c r="I262" s="62">
        <v>0</v>
      </c>
      <c r="J262" s="62">
        <f xml:space="preserve"> IF( ISNA( MATCH( co_inputScenarioInfo[[#This Row],[inputType]], co_modelTypes[modelUnitType], 0 ) ), "", INDEX( co_modelTypes[modelMaxExtrap], MATCH( co_inputScenarioInfo[[#This Row],[inputType]], co_modelTypes[modelUnitType], 0 ) ) )</f>
        <v>30</v>
      </c>
      <c r="K262" s="62" t="s">
        <v>1064</v>
      </c>
      <c r="L262" s="62">
        <v>0</v>
      </c>
    </row>
    <row r="263" spans="1:21" x14ac:dyDescent="0.3">
      <c r="B263" s="7">
        <f xml:space="preserve"> ROW( co_inputScenarioInfo[[#This Row],[row_id]] ) - ROW( co_inputScenarioInfo[[#Headers],[row_id]] )</f>
        <v>2</v>
      </c>
      <c r="C263" s="14" t="s">
        <v>818</v>
      </c>
      <c r="D263" s="79" t="s">
        <v>961</v>
      </c>
      <c r="E263" s="79" t="s">
        <v>1057</v>
      </c>
      <c r="F263" s="79" t="str">
        <f xml:space="preserve"> co_inputScenarioInfo[[#This Row],[inputName]] &amp; "file"</f>
        <v>slrfile</v>
      </c>
      <c r="G263" s="79" t="str">
        <f xml:space="preserve"> co_inputScenarioInfo[[#This Row],[inputName]] &amp; "Input"</f>
        <v>slrInput</v>
      </c>
      <c r="H263" s="62" t="s">
        <v>963</v>
      </c>
      <c r="I263" s="62">
        <v>0</v>
      </c>
      <c r="J263" s="62">
        <f xml:space="preserve"> IF( ISNA( MATCH( co_inputScenarioInfo[[#This Row],[inputType]], co_modelTypes[modelUnitType], 0 ) ), "", INDEX( co_modelTypes[modelMaxExtrap], MATCH( co_inputScenarioInfo[[#This Row],[inputType]], co_modelTypes[modelUnitType], 0 ) ) )</f>
        <v>1000</v>
      </c>
      <c r="K263" s="62" t="s">
        <v>1065</v>
      </c>
      <c r="L263" s="62">
        <v>0</v>
      </c>
    </row>
    <row r="264" spans="1:21" x14ac:dyDescent="0.3">
      <c r="B264" s="7">
        <f xml:space="preserve"> ROW( co_inputScenarioInfo[[#This Row],[row_id]] ) - ROW( co_inputScenarioInfo[[#Headers],[row_id]] )</f>
        <v>3</v>
      </c>
      <c r="C264" s="14" t="s">
        <v>1047</v>
      </c>
      <c r="D264" s="79" t="s">
        <v>1050</v>
      </c>
      <c r="E264" s="79" t="s">
        <v>1058</v>
      </c>
      <c r="F264" s="79" t="str">
        <f xml:space="preserve"> co_inputScenarioInfo[[#This Row],[inputName]] &amp; "file"</f>
        <v>gdpfile</v>
      </c>
      <c r="G264" s="79" t="str">
        <f xml:space="preserve"> co_inputScenarioInfo[[#This Row],[inputName]] &amp; "Input"</f>
        <v>gdpInput</v>
      </c>
      <c r="H264" s="62" t="s">
        <v>1053</v>
      </c>
      <c r="I264" s="62">
        <v>0</v>
      </c>
      <c r="J264" s="62" t="str">
        <f xml:space="preserve"> IF( ISNA( MATCH( co_inputScenarioInfo[[#This Row],[inputType]], co_modelTypes[modelUnitType], 0 ) ), "", INDEX( co_modelTypes[modelMaxExtrap], MATCH( co_inputScenarioInfo[[#This Row],[inputType]], co_modelTypes[modelUnitType], 0 ) ) )</f>
        <v/>
      </c>
      <c r="K264" s="62" t="s">
        <v>904</v>
      </c>
      <c r="L264" s="62">
        <v>0</v>
      </c>
    </row>
    <row r="265" spans="1:21" x14ac:dyDescent="0.3">
      <c r="B265" s="7">
        <f xml:space="preserve"> ROW( co_inputScenarioInfo[[#This Row],[row_id]] ) - ROW( co_inputScenarioInfo[[#Headers],[row_id]] )</f>
        <v>4</v>
      </c>
      <c r="C265" s="14" t="s">
        <v>1048</v>
      </c>
      <c r="D265" s="79" t="s">
        <v>1051</v>
      </c>
      <c r="E265" s="79" t="s">
        <v>1059</v>
      </c>
      <c r="F265" s="79" t="str">
        <f xml:space="preserve"> co_inputScenarioInfo[[#This Row],[inputName]] &amp; "file"</f>
        <v>popfile</v>
      </c>
      <c r="G265" s="79" t="str">
        <f xml:space="preserve"> co_inputScenarioInfo[[#This Row],[inputName]] &amp; "Input"</f>
        <v>popInput</v>
      </c>
      <c r="H265" s="62" t="s">
        <v>1054</v>
      </c>
      <c r="I265" s="62">
        <v>0</v>
      </c>
      <c r="J265" s="62" t="str">
        <f xml:space="preserve"> IF( ISNA( MATCH( co_inputScenarioInfo[[#This Row],[inputType]], co_modelTypes[modelUnitType], 0 ) ), "", INDEX( co_modelTypes[modelMaxExtrap], MATCH( co_inputScenarioInfo[[#This Row],[inputType]], co_modelTypes[modelUnitType], 0 ) ) )</f>
        <v/>
      </c>
      <c r="K265" s="62" t="s">
        <v>251</v>
      </c>
      <c r="L265" s="62">
        <v>1</v>
      </c>
    </row>
  </sheetData>
  <phoneticPr fontId="10" type="noConversion"/>
  <conditionalFormatting sqref="J130:K130">
    <cfRule type="expression" dxfId="3" priority="5">
      <formula xml:space="preserve"> IF( $F130 = 1, 1, 0)</formula>
    </cfRule>
  </conditionalFormatting>
  <conditionalFormatting sqref="B19:F26 B28:F32 B34:F43 B33">
    <cfRule type="expression" dxfId="2" priority="7">
      <formula xml:space="preserve"> IF( $E19 = 1, 1, 0)</formula>
    </cfRule>
  </conditionalFormatting>
  <conditionalFormatting sqref="B27:F27">
    <cfRule type="expression" dxfId="1" priority="2">
      <formula xml:space="preserve"> IF( $E27 = 1, 1, 0)</formula>
    </cfRule>
  </conditionalFormatting>
  <conditionalFormatting sqref="C33:F33">
    <cfRule type="expression" dxfId="0" priority="1">
      <formula xml:space="preserve"> IF( $E33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280"/>
  <sheetViews>
    <sheetView zoomScale="85" zoomScaleNormal="85" workbookViewId="0">
      <pane ySplit="1" topLeftCell="A1090" activePane="bottomLeft" state="frozen"/>
      <selection pane="bottomLeft" activeCell="D1093" sqref="D1093"/>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row r="1099" spans="1:7" x14ac:dyDescent="0.35">
      <c r="A1099" s="150">
        <f xml:space="preserve"> ROW( scalarDataframe[[#This Row],[row_id]] ) - ROW( scalarDataframe[[#Headers],[row_id]] )</f>
        <v>1098</v>
      </c>
      <c r="B1099" s="151" t="str">
        <f xml:space="preserve"> INDEX( co_scalarInfo[scalarType], MATCH( scalarDataframe[[#This Row],[scalarName]], co_scalarInfo[scalarName], 0 ) )</f>
        <v>physAdj</v>
      </c>
      <c r="C1099" s="152" t="str">
        <f xml:space="preserve"> INDEX( co_scalarInfo[scalarLabel], MATCH( scalarDataframe[[#This Row],[scalarName]], co_scalarInfo[scalarName], 0 ) )</f>
        <v>MH Demographic Proportion Adjustment Factor</v>
      </c>
      <c r="D1099" s="24" t="s">
        <v>1316</v>
      </c>
      <c r="E1099" s="18" t="s">
        <v>6</v>
      </c>
      <c r="F1099" s="25">
        <v>2011</v>
      </c>
      <c r="G1099" s="26">
        <v>1.0016250853338</v>
      </c>
    </row>
    <row r="1100" spans="1:7" x14ac:dyDescent="0.35">
      <c r="A1100" s="150">
        <f xml:space="preserve"> ROW( scalarDataframe[[#This Row],[row_id]] ) - ROW( scalarDataframe[[#Headers],[row_id]] )</f>
        <v>1099</v>
      </c>
      <c r="B1100" s="151" t="str">
        <f xml:space="preserve"> INDEX( co_scalarInfo[scalarType], MATCH( scalarDataframe[[#This Row],[scalarName]], co_scalarInfo[scalarName], 0 ) )</f>
        <v>physAdj</v>
      </c>
      <c r="C1100" s="152" t="str">
        <f xml:space="preserve"> INDEX( co_scalarInfo[scalarLabel], MATCH( scalarDataframe[[#This Row],[scalarName]], co_scalarInfo[scalarName], 0 ) )</f>
        <v>MH Demographic Proportion Adjustment Factor</v>
      </c>
      <c r="D1100" s="24" t="s">
        <v>1316</v>
      </c>
      <c r="E1100" s="18" t="s">
        <v>6</v>
      </c>
      <c r="F1100" s="25">
        <v>2013</v>
      </c>
      <c r="G1100" s="26">
        <v>1.0008034585026999</v>
      </c>
    </row>
    <row r="1101" spans="1:7" x14ac:dyDescent="0.35">
      <c r="A1101" s="150">
        <f xml:space="preserve"> ROW( scalarDataframe[[#This Row],[row_id]] ) - ROW( scalarDataframe[[#Headers],[row_id]] )</f>
        <v>1100</v>
      </c>
      <c r="B1101" s="151" t="str">
        <f xml:space="preserve"> INDEX( co_scalarInfo[scalarType], MATCH( scalarDataframe[[#This Row],[scalarName]], co_scalarInfo[scalarName], 0 ) )</f>
        <v>physAdj</v>
      </c>
      <c r="C1101" s="152" t="str">
        <f xml:space="preserve"> INDEX( co_scalarInfo[scalarLabel], MATCH( scalarDataframe[[#This Row],[scalarName]], co_scalarInfo[scalarName], 0 ) )</f>
        <v>MH Demographic Proportion Adjustment Factor</v>
      </c>
      <c r="D1101" s="24" t="s">
        <v>1316</v>
      </c>
      <c r="E1101" s="18" t="s">
        <v>6</v>
      </c>
      <c r="F1101" s="25">
        <v>2017</v>
      </c>
      <c r="G1101" s="26">
        <v>0.99918158258854906</v>
      </c>
    </row>
    <row r="1102" spans="1:7" x14ac:dyDescent="0.35">
      <c r="A1102" s="150">
        <f xml:space="preserve"> ROW( scalarDataframe[[#This Row],[row_id]] ) - ROW( scalarDataframe[[#Headers],[row_id]] )</f>
        <v>1101</v>
      </c>
      <c r="B1102" s="151" t="str">
        <f xml:space="preserve"> INDEX( co_scalarInfo[scalarType], MATCH( scalarDataframe[[#This Row],[scalarName]], co_scalarInfo[scalarName], 0 ) )</f>
        <v>physAdj</v>
      </c>
      <c r="C1102" s="152" t="str">
        <f xml:space="preserve"> INDEX( co_scalarInfo[scalarLabel], MATCH( scalarDataframe[[#This Row],[scalarName]], co_scalarInfo[scalarName], 0 ) )</f>
        <v>MH Demographic Proportion Adjustment Factor</v>
      </c>
      <c r="D1102" s="24" t="s">
        <v>1316</v>
      </c>
      <c r="E1102" s="18" t="s">
        <v>6</v>
      </c>
      <c r="F1102" s="25">
        <v>2025</v>
      </c>
      <c r="G1102" s="26">
        <v>0.99869212678404595</v>
      </c>
    </row>
    <row r="1103" spans="1:7" x14ac:dyDescent="0.35">
      <c r="A1103" s="150">
        <f xml:space="preserve"> ROW( scalarDataframe[[#This Row],[row_id]] ) - ROW( scalarDataframe[[#Headers],[row_id]] )</f>
        <v>1102</v>
      </c>
      <c r="B1103" s="151" t="str">
        <f xml:space="preserve"> INDEX( co_scalarInfo[scalarType], MATCH( scalarDataframe[[#This Row],[scalarName]], co_scalarInfo[scalarName], 0 ) )</f>
        <v>physAdj</v>
      </c>
      <c r="C1103" s="152" t="str">
        <f xml:space="preserve"> INDEX( co_scalarInfo[scalarLabel], MATCH( scalarDataframe[[#This Row],[scalarName]], co_scalarInfo[scalarName], 0 ) )</f>
        <v>MH Demographic Proportion Adjustment Factor</v>
      </c>
      <c r="D1103" s="24" t="s">
        <v>1316</v>
      </c>
      <c r="E1103" s="18" t="s">
        <v>6</v>
      </c>
      <c r="F1103" s="25">
        <v>2029</v>
      </c>
      <c r="G1103" s="26">
        <v>0.99929112327545699</v>
      </c>
    </row>
    <row r="1104" spans="1:7" x14ac:dyDescent="0.35">
      <c r="A1104" s="150">
        <f xml:space="preserve"> ROW( scalarDataframe[[#This Row],[row_id]] ) - ROW( scalarDataframe[[#Headers],[row_id]] )</f>
        <v>1103</v>
      </c>
      <c r="B1104" s="151" t="str">
        <f xml:space="preserve"> INDEX( co_scalarInfo[scalarType], MATCH( scalarDataframe[[#This Row],[scalarName]], co_scalarInfo[scalarName], 0 ) )</f>
        <v>physAdj</v>
      </c>
      <c r="C1104" s="152" t="str">
        <f xml:space="preserve"> INDEX( co_scalarInfo[scalarLabel], MATCH( scalarDataframe[[#This Row],[scalarName]], co_scalarInfo[scalarName], 0 ) )</f>
        <v>MH Demographic Proportion Adjustment Factor</v>
      </c>
      <c r="D1104" s="24" t="s">
        <v>1316</v>
      </c>
      <c r="E1104" s="18" t="s">
        <v>6</v>
      </c>
      <c r="F1104" s="25">
        <v>2032</v>
      </c>
      <c r="G1104" s="26">
        <v>1.0008918463868299</v>
      </c>
    </row>
    <row r="1105" spans="1:7" x14ac:dyDescent="0.35">
      <c r="A1105" s="150">
        <f xml:space="preserve"> ROW( scalarDataframe[[#This Row],[row_id]] ) - ROW( scalarDataframe[[#Headers],[row_id]] )</f>
        <v>1104</v>
      </c>
      <c r="B1105" s="151" t="str">
        <f xml:space="preserve"> INDEX( co_scalarInfo[scalarType], MATCH( scalarDataframe[[#This Row],[scalarName]], co_scalarInfo[scalarName], 0 ) )</f>
        <v>physAdj</v>
      </c>
      <c r="C1105" s="152" t="str">
        <f xml:space="preserve"> INDEX( co_scalarInfo[scalarLabel], MATCH( scalarDataframe[[#This Row],[scalarName]], co_scalarInfo[scalarName], 0 ) )</f>
        <v>MH Demographic Proportion Adjustment Factor</v>
      </c>
      <c r="D1105" s="24" t="s">
        <v>1316</v>
      </c>
      <c r="E1105" s="18" t="s">
        <v>6</v>
      </c>
      <c r="F1105" s="25">
        <v>2033</v>
      </c>
      <c r="G1105" s="26">
        <v>1.0016483586529601</v>
      </c>
    </row>
    <row r="1106" spans="1:7" x14ac:dyDescent="0.35">
      <c r="A1106" s="150">
        <f xml:space="preserve"> ROW( scalarDataframe[[#This Row],[row_id]] ) - ROW( scalarDataframe[[#Headers],[row_id]] )</f>
        <v>1105</v>
      </c>
      <c r="B1106" s="151" t="str">
        <f xml:space="preserve"> INDEX( co_scalarInfo[scalarType], MATCH( scalarDataframe[[#This Row],[scalarName]], co_scalarInfo[scalarName], 0 ) )</f>
        <v>physAdj</v>
      </c>
      <c r="C1106" s="152" t="str">
        <f xml:space="preserve"> INDEX( co_scalarInfo[scalarLabel], MATCH( scalarDataframe[[#This Row],[scalarName]], co_scalarInfo[scalarName], 0 ) )</f>
        <v>MH Demographic Proportion Adjustment Factor</v>
      </c>
      <c r="D1106" s="24" t="s">
        <v>1316</v>
      </c>
      <c r="E1106" s="18" t="s">
        <v>6</v>
      </c>
      <c r="F1106" s="25">
        <v>2037</v>
      </c>
      <c r="G1106" s="26">
        <v>1.0046663900719801</v>
      </c>
    </row>
    <row r="1107" spans="1:7" x14ac:dyDescent="0.35">
      <c r="A1107" s="150">
        <f xml:space="preserve"> ROW( scalarDataframe[[#This Row],[row_id]] ) - ROW( scalarDataframe[[#Headers],[row_id]] )</f>
        <v>1106</v>
      </c>
      <c r="B1107" s="151" t="str">
        <f xml:space="preserve"> INDEX( co_scalarInfo[scalarType], MATCH( scalarDataframe[[#This Row],[scalarName]], co_scalarInfo[scalarName], 0 ) )</f>
        <v>physAdj</v>
      </c>
      <c r="C1107" s="152" t="str">
        <f xml:space="preserve"> INDEX( co_scalarInfo[scalarLabel], MATCH( scalarDataframe[[#This Row],[scalarName]], co_scalarInfo[scalarName], 0 ) )</f>
        <v>MH Demographic Proportion Adjustment Factor</v>
      </c>
      <c r="D1107" s="24" t="s">
        <v>1316</v>
      </c>
      <c r="E1107" s="18" t="s">
        <v>6</v>
      </c>
      <c r="F1107" s="25">
        <v>2044</v>
      </c>
      <c r="G1107" s="26">
        <v>1.00654467386709</v>
      </c>
    </row>
    <row r="1108" spans="1:7" x14ac:dyDescent="0.35">
      <c r="A1108" s="150">
        <f xml:space="preserve"> ROW( scalarDataframe[[#This Row],[row_id]] ) - ROW( scalarDataframe[[#Headers],[row_id]] )</f>
        <v>1107</v>
      </c>
      <c r="B1108" s="151" t="str">
        <f xml:space="preserve"> INDEX( co_scalarInfo[scalarType], MATCH( scalarDataframe[[#This Row],[scalarName]], co_scalarInfo[scalarName], 0 ) )</f>
        <v>physAdj</v>
      </c>
      <c r="C1108" s="152" t="str">
        <f xml:space="preserve"> INDEX( co_scalarInfo[scalarLabel], MATCH( scalarDataframe[[#This Row],[scalarName]], co_scalarInfo[scalarName], 0 ) )</f>
        <v>MH Demographic Proportion Adjustment Factor</v>
      </c>
      <c r="D1108" s="24" t="s">
        <v>1316</v>
      </c>
      <c r="E1108" s="18" t="s">
        <v>6</v>
      </c>
      <c r="F1108" s="25">
        <v>2048</v>
      </c>
      <c r="G1108" s="26">
        <v>1.0059066548759701</v>
      </c>
    </row>
    <row r="1109" spans="1:7" x14ac:dyDescent="0.35">
      <c r="A1109" s="150">
        <f xml:space="preserve"> ROW( scalarDataframe[[#This Row],[row_id]] ) - ROW( scalarDataframe[[#Headers],[row_id]] )</f>
        <v>1108</v>
      </c>
      <c r="B1109" s="151" t="str">
        <f xml:space="preserve"> INDEX( co_scalarInfo[scalarType], MATCH( scalarDataframe[[#This Row],[scalarName]], co_scalarInfo[scalarName], 0 ) )</f>
        <v>physAdj</v>
      </c>
      <c r="C1109" s="152" t="str">
        <f xml:space="preserve"> INDEX( co_scalarInfo[scalarLabel], MATCH( scalarDataframe[[#This Row],[scalarName]], co_scalarInfo[scalarName], 0 ) )</f>
        <v>MH Demographic Proportion Adjustment Factor</v>
      </c>
      <c r="D1109" s="24" t="s">
        <v>1316</v>
      </c>
      <c r="E1109" s="18" t="s">
        <v>6</v>
      </c>
      <c r="F1109" s="25">
        <v>2049</v>
      </c>
      <c r="G1109" s="26">
        <v>1.0058421204921499</v>
      </c>
    </row>
    <row r="1110" spans="1:7" x14ac:dyDescent="0.35">
      <c r="A1110" s="150">
        <f xml:space="preserve"> ROW( scalarDataframe[[#This Row],[row_id]] ) - ROW( scalarDataframe[[#Headers],[row_id]] )</f>
        <v>1109</v>
      </c>
      <c r="B1110" s="151" t="str">
        <f xml:space="preserve"> INDEX( co_scalarInfo[scalarType], MATCH( scalarDataframe[[#This Row],[scalarName]], co_scalarInfo[scalarName], 0 ) )</f>
        <v>physAdj</v>
      </c>
      <c r="C1110" s="152" t="str">
        <f xml:space="preserve"> INDEX( co_scalarInfo[scalarLabel], MATCH( scalarDataframe[[#This Row],[scalarName]], co_scalarInfo[scalarName], 0 ) )</f>
        <v>MH Demographic Proportion Adjustment Factor</v>
      </c>
      <c r="D1110" s="24" t="s">
        <v>1316</v>
      </c>
      <c r="E1110" s="18" t="s">
        <v>6</v>
      </c>
      <c r="F1110" s="25">
        <v>2050</v>
      </c>
      <c r="G1110" s="26">
        <v>1.00567909261872</v>
      </c>
    </row>
    <row r="1111" spans="1:7" x14ac:dyDescent="0.35">
      <c r="A1111" s="150">
        <f xml:space="preserve"> ROW( scalarDataframe[[#This Row],[row_id]] ) - ROW( scalarDataframe[[#Headers],[row_id]] )</f>
        <v>1110</v>
      </c>
      <c r="B1111" s="151" t="str">
        <f xml:space="preserve"> INDEX( co_scalarInfo[scalarType], MATCH( scalarDataframe[[#This Row],[scalarName]], co_scalarInfo[scalarName], 0 ) )</f>
        <v>physAdj</v>
      </c>
      <c r="C1111" s="152" t="str">
        <f xml:space="preserve"> INDEX( co_scalarInfo[scalarLabel], MATCH( scalarDataframe[[#This Row],[scalarName]], co_scalarInfo[scalarName], 0 ) )</f>
        <v>MH Demographic Proportion Adjustment Factor</v>
      </c>
      <c r="D1111" s="24" t="s">
        <v>1316</v>
      </c>
      <c r="E1111" s="18" t="s">
        <v>6</v>
      </c>
      <c r="F1111" s="25">
        <v>2052</v>
      </c>
      <c r="G1111" s="26">
        <v>1.00628611696792</v>
      </c>
    </row>
    <row r="1112" spans="1:7" x14ac:dyDescent="0.35">
      <c r="A1112" s="150">
        <f xml:space="preserve"> ROW( scalarDataframe[[#This Row],[row_id]] ) - ROW( scalarDataframe[[#Headers],[row_id]] )</f>
        <v>1111</v>
      </c>
      <c r="B1112" s="151" t="str">
        <f xml:space="preserve"> INDEX( co_scalarInfo[scalarType], MATCH( scalarDataframe[[#This Row],[scalarName]], co_scalarInfo[scalarName], 0 ) )</f>
        <v>physAdj</v>
      </c>
      <c r="C1112" s="152" t="str">
        <f xml:space="preserve"> INDEX( co_scalarInfo[scalarLabel], MATCH( scalarDataframe[[#This Row],[scalarName]], co_scalarInfo[scalarName], 0 ) )</f>
        <v>MH Demographic Proportion Adjustment Factor</v>
      </c>
      <c r="D1112" s="24" t="s">
        <v>1316</v>
      </c>
      <c r="E1112" s="18" t="s">
        <v>6</v>
      </c>
      <c r="F1112" s="25">
        <v>2055</v>
      </c>
      <c r="G1112" s="26">
        <v>1.0073135400992199</v>
      </c>
    </row>
    <row r="1113" spans="1:7" x14ac:dyDescent="0.35">
      <c r="A1113" s="150">
        <f xml:space="preserve"> ROW( scalarDataframe[[#This Row],[row_id]] ) - ROW( scalarDataframe[[#Headers],[row_id]] )</f>
        <v>1112</v>
      </c>
      <c r="B1113" s="151" t="str">
        <f xml:space="preserve"> INDEX( co_scalarInfo[scalarType], MATCH( scalarDataframe[[#This Row],[scalarName]], co_scalarInfo[scalarName], 0 ) )</f>
        <v>physAdj</v>
      </c>
      <c r="C1113" s="152" t="str">
        <f xml:space="preserve"> INDEX( co_scalarInfo[scalarLabel], MATCH( scalarDataframe[[#This Row],[scalarName]], co_scalarInfo[scalarName], 0 ) )</f>
        <v>MH Demographic Proportion Adjustment Factor</v>
      </c>
      <c r="D1113" s="24" t="s">
        <v>1316</v>
      </c>
      <c r="E1113" s="18" t="s">
        <v>6</v>
      </c>
      <c r="F1113" s="25">
        <v>2059</v>
      </c>
      <c r="G1113" s="26">
        <v>1.0085472175636401</v>
      </c>
    </row>
    <row r="1114" spans="1:7" x14ac:dyDescent="0.35">
      <c r="A1114" s="150">
        <f xml:space="preserve"> ROW( scalarDataframe[[#This Row],[row_id]] ) - ROW( scalarDataframe[[#Headers],[row_id]] )</f>
        <v>1113</v>
      </c>
      <c r="B1114" s="151" t="str">
        <f xml:space="preserve"> INDEX( co_scalarInfo[scalarType], MATCH( scalarDataframe[[#This Row],[scalarName]], co_scalarInfo[scalarName], 0 ) )</f>
        <v>physAdj</v>
      </c>
      <c r="C1114" s="152" t="str">
        <f xml:space="preserve"> INDEX( co_scalarInfo[scalarLabel], MATCH( scalarDataframe[[#This Row],[scalarName]], co_scalarInfo[scalarName], 0 ) )</f>
        <v>MH Demographic Proportion Adjustment Factor</v>
      </c>
      <c r="D1114" s="24" t="s">
        <v>1316</v>
      </c>
      <c r="E1114" s="18" t="s">
        <v>6</v>
      </c>
      <c r="F1114" s="25">
        <v>2061</v>
      </c>
      <c r="G1114" s="26">
        <v>1.0094395346549601</v>
      </c>
    </row>
    <row r="1115" spans="1:7" x14ac:dyDescent="0.35">
      <c r="A1115" s="150">
        <f xml:space="preserve"> ROW( scalarDataframe[[#This Row],[row_id]] ) - ROW( scalarDataframe[[#Headers],[row_id]] )</f>
        <v>1114</v>
      </c>
      <c r="B1115" s="151" t="str">
        <f xml:space="preserve"> INDEX( co_scalarInfo[scalarType], MATCH( scalarDataframe[[#This Row],[scalarName]], co_scalarInfo[scalarName], 0 ) )</f>
        <v>physAdj</v>
      </c>
      <c r="C1115" s="152" t="str">
        <f xml:space="preserve"> INDEX( co_scalarInfo[scalarLabel], MATCH( scalarDataframe[[#This Row],[scalarName]], co_scalarInfo[scalarName], 0 ) )</f>
        <v>MH Demographic Proportion Adjustment Factor</v>
      </c>
      <c r="D1115" s="24" t="s">
        <v>1316</v>
      </c>
      <c r="E1115" s="18" t="s">
        <v>6</v>
      </c>
      <c r="F1115" s="25">
        <v>2062</v>
      </c>
      <c r="G1115" s="26">
        <v>1.0100230811650099</v>
      </c>
    </row>
    <row r="1116" spans="1:7" x14ac:dyDescent="0.35">
      <c r="A1116" s="150">
        <f xml:space="preserve"> ROW( scalarDataframe[[#This Row],[row_id]] ) - ROW( scalarDataframe[[#Headers],[row_id]] )</f>
        <v>1115</v>
      </c>
      <c r="B1116" s="151" t="str">
        <f xml:space="preserve"> INDEX( co_scalarInfo[scalarType], MATCH( scalarDataframe[[#This Row],[scalarName]], co_scalarInfo[scalarName], 0 ) )</f>
        <v>physAdj</v>
      </c>
      <c r="C1116" s="152" t="str">
        <f xml:space="preserve"> INDEX( co_scalarInfo[scalarLabel], MATCH( scalarDataframe[[#This Row],[scalarName]], co_scalarInfo[scalarName], 0 ) )</f>
        <v>MH Demographic Proportion Adjustment Factor</v>
      </c>
      <c r="D1116" s="24" t="s">
        <v>1316</v>
      </c>
      <c r="E1116" s="18" t="s">
        <v>6</v>
      </c>
      <c r="F1116" s="25">
        <v>2064</v>
      </c>
      <c r="G1116" s="26">
        <v>1.0112933607204599</v>
      </c>
    </row>
    <row r="1117" spans="1:7" x14ac:dyDescent="0.35">
      <c r="A1117" s="150">
        <f xml:space="preserve"> ROW( scalarDataframe[[#This Row],[row_id]] ) - ROW( scalarDataframe[[#Headers],[row_id]] )</f>
        <v>1116</v>
      </c>
      <c r="B1117" s="151" t="str">
        <f xml:space="preserve"> INDEX( co_scalarInfo[scalarType], MATCH( scalarDataframe[[#This Row],[scalarName]], co_scalarInfo[scalarName], 0 ) )</f>
        <v>physAdj</v>
      </c>
      <c r="C1117" s="152" t="str">
        <f xml:space="preserve"> INDEX( co_scalarInfo[scalarLabel], MATCH( scalarDataframe[[#This Row],[scalarName]], co_scalarInfo[scalarName], 0 ) )</f>
        <v>MH Demographic Proportion Adjustment Factor</v>
      </c>
      <c r="D1117" s="24" t="s">
        <v>1316</v>
      </c>
      <c r="E1117" s="18" t="s">
        <v>6</v>
      </c>
      <c r="F1117" s="25">
        <v>2067</v>
      </c>
      <c r="G1117" s="26">
        <v>1.01316030650093</v>
      </c>
    </row>
    <row r="1118" spans="1:7" x14ac:dyDescent="0.35">
      <c r="A1118" s="150">
        <f xml:space="preserve"> ROW( scalarDataframe[[#This Row],[row_id]] ) - ROW( scalarDataframe[[#Headers],[row_id]] )</f>
        <v>1117</v>
      </c>
      <c r="B1118" s="151" t="str">
        <f xml:space="preserve"> INDEX( co_scalarInfo[scalarType], MATCH( scalarDataframe[[#This Row],[scalarName]], co_scalarInfo[scalarName], 0 ) )</f>
        <v>physAdj</v>
      </c>
      <c r="C1118" s="152" t="str">
        <f xml:space="preserve"> INDEX( co_scalarInfo[scalarLabel], MATCH( scalarDataframe[[#This Row],[scalarName]], co_scalarInfo[scalarName], 0 ) )</f>
        <v>MH Demographic Proportion Adjustment Factor</v>
      </c>
      <c r="D1118" s="24" t="s">
        <v>1316</v>
      </c>
      <c r="E1118" s="18" t="s">
        <v>6</v>
      </c>
      <c r="F1118" s="25">
        <v>2071</v>
      </c>
      <c r="G1118" s="26">
        <v>1.01502096924015</v>
      </c>
    </row>
    <row r="1119" spans="1:7" x14ac:dyDescent="0.35">
      <c r="A1119" s="150">
        <f xml:space="preserve"> ROW( scalarDataframe[[#This Row],[row_id]] ) - ROW( scalarDataframe[[#Headers],[row_id]] )</f>
        <v>1118</v>
      </c>
      <c r="B1119" s="151" t="str">
        <f xml:space="preserve"> INDEX( co_scalarInfo[scalarType], MATCH( scalarDataframe[[#This Row],[scalarName]], co_scalarInfo[scalarName], 0 ) )</f>
        <v>physAdj</v>
      </c>
      <c r="C1119" s="152" t="str">
        <f xml:space="preserve"> INDEX( co_scalarInfo[scalarLabel], MATCH( scalarDataframe[[#This Row],[scalarName]], co_scalarInfo[scalarName], 0 ) )</f>
        <v>MH Demographic Proportion Adjustment Factor</v>
      </c>
      <c r="D1119" s="24" t="s">
        <v>1316</v>
      </c>
      <c r="E1119" s="18" t="s">
        <v>6</v>
      </c>
      <c r="F1119" s="25">
        <v>2076</v>
      </c>
      <c r="G1119" s="26">
        <v>1.01557782921488</v>
      </c>
    </row>
    <row r="1120" spans="1:7" x14ac:dyDescent="0.35">
      <c r="A1120" s="150">
        <f xml:space="preserve"> ROW( scalarDataframe[[#This Row],[row_id]] ) - ROW( scalarDataframe[[#Headers],[row_id]] )</f>
        <v>1119</v>
      </c>
      <c r="B1120" s="151" t="str">
        <f xml:space="preserve"> INDEX( co_scalarInfo[scalarType], MATCH( scalarDataframe[[#This Row],[scalarName]], co_scalarInfo[scalarName], 0 ) )</f>
        <v>physAdj</v>
      </c>
      <c r="C1120" s="152" t="str">
        <f xml:space="preserve"> INDEX( co_scalarInfo[scalarLabel], MATCH( scalarDataframe[[#This Row],[scalarName]], co_scalarInfo[scalarName], 0 ) )</f>
        <v>MH Demographic Proportion Adjustment Factor</v>
      </c>
      <c r="D1120" s="24" t="s">
        <v>1316</v>
      </c>
      <c r="E1120" s="18" t="s">
        <v>6</v>
      </c>
      <c r="F1120" s="25">
        <v>2077</v>
      </c>
      <c r="G1120" s="26">
        <v>1.0156101322358</v>
      </c>
    </row>
    <row r="1121" spans="1:7" x14ac:dyDescent="0.35">
      <c r="A1121" s="150">
        <f xml:space="preserve"> ROW( scalarDataframe[[#This Row],[row_id]] ) - ROW( scalarDataframe[[#Headers],[row_id]] )</f>
        <v>1120</v>
      </c>
      <c r="B1121" s="151" t="str">
        <f xml:space="preserve"> INDEX( co_scalarInfo[scalarType], MATCH( scalarDataframe[[#This Row],[scalarName]], co_scalarInfo[scalarName], 0 ) )</f>
        <v>physAdj</v>
      </c>
      <c r="C1121" s="152" t="str">
        <f xml:space="preserve"> INDEX( co_scalarInfo[scalarLabel], MATCH( scalarDataframe[[#This Row],[scalarName]], co_scalarInfo[scalarName], 0 ) )</f>
        <v>MH Demographic Proportion Adjustment Factor</v>
      </c>
      <c r="D1121" s="24" t="s">
        <v>1316</v>
      </c>
      <c r="E1121" s="18" t="s">
        <v>6</v>
      </c>
      <c r="F1121" s="25">
        <v>2081</v>
      </c>
      <c r="G1121" s="26">
        <v>1.0164382641791001</v>
      </c>
    </row>
    <row r="1122" spans="1:7" x14ac:dyDescent="0.35">
      <c r="A1122" s="150">
        <f xml:space="preserve"> ROW( scalarDataframe[[#This Row],[row_id]] ) - ROW( scalarDataframe[[#Headers],[row_id]] )</f>
        <v>1121</v>
      </c>
      <c r="B1122" s="151" t="str">
        <f xml:space="preserve"> INDEX( co_scalarInfo[scalarType], MATCH( scalarDataframe[[#This Row],[scalarName]], co_scalarInfo[scalarName], 0 ) )</f>
        <v>physAdj</v>
      </c>
      <c r="C1122" s="152" t="str">
        <f xml:space="preserve"> INDEX( co_scalarInfo[scalarLabel], MATCH( scalarDataframe[[#This Row],[scalarName]], co_scalarInfo[scalarName], 0 ) )</f>
        <v>MH Demographic Proportion Adjustment Factor</v>
      </c>
      <c r="D1122" s="24" t="s">
        <v>1316</v>
      </c>
      <c r="E1122" s="18" t="s">
        <v>6</v>
      </c>
      <c r="F1122" s="25">
        <v>2082</v>
      </c>
      <c r="G1122" s="26">
        <v>1.0166109719049301</v>
      </c>
    </row>
    <row r="1123" spans="1:7" x14ac:dyDescent="0.35">
      <c r="A1123" s="150">
        <f xml:space="preserve"> ROW( scalarDataframe[[#This Row],[row_id]] ) - ROW( scalarDataframe[[#Headers],[row_id]] )</f>
        <v>1122</v>
      </c>
      <c r="B1123" s="151" t="str">
        <f xml:space="preserve"> INDEX( co_scalarInfo[scalarType], MATCH( scalarDataframe[[#This Row],[scalarName]], co_scalarInfo[scalarName], 0 ) )</f>
        <v>physAdj</v>
      </c>
      <c r="C1123" s="152" t="str">
        <f xml:space="preserve"> INDEX( co_scalarInfo[scalarLabel], MATCH( scalarDataframe[[#This Row],[scalarName]], co_scalarInfo[scalarName], 0 ) )</f>
        <v>MH Demographic Proportion Adjustment Factor</v>
      </c>
      <c r="D1123" s="24" t="s">
        <v>1316</v>
      </c>
      <c r="E1123" s="18" t="s">
        <v>6</v>
      </c>
      <c r="F1123" s="25">
        <v>2087</v>
      </c>
      <c r="G1123" s="26">
        <v>1.0184079755161699</v>
      </c>
    </row>
    <row r="1124" spans="1:7" x14ac:dyDescent="0.35">
      <c r="A1124" s="150">
        <f xml:space="preserve"> ROW( scalarDataframe[[#This Row],[row_id]] ) - ROW( scalarDataframe[[#Headers],[row_id]] )</f>
        <v>1123</v>
      </c>
      <c r="B1124" s="151" t="str">
        <f xml:space="preserve"> INDEX( co_scalarInfo[scalarType], MATCH( scalarDataframe[[#This Row],[scalarName]], co_scalarInfo[scalarName], 0 ) )</f>
        <v>physAdj</v>
      </c>
      <c r="C1124" s="152" t="str">
        <f xml:space="preserve"> INDEX( co_scalarInfo[scalarLabel], MATCH( scalarDataframe[[#This Row],[scalarName]], co_scalarInfo[scalarName], 0 ) )</f>
        <v>MH Demographic Proportion Adjustment Factor</v>
      </c>
      <c r="D1124" s="24" t="s">
        <v>1316</v>
      </c>
      <c r="E1124" s="18" t="s">
        <v>6</v>
      </c>
      <c r="F1124" s="25">
        <v>2091</v>
      </c>
      <c r="G1124" s="26">
        <v>1.0203877135305399</v>
      </c>
    </row>
    <row r="1125" spans="1:7" x14ac:dyDescent="0.35">
      <c r="A1125" s="150">
        <f xml:space="preserve"> ROW( scalarDataframe[[#This Row],[row_id]] ) - ROW( scalarDataframe[[#Headers],[row_id]] )</f>
        <v>1124</v>
      </c>
      <c r="B1125" s="151" t="str">
        <f xml:space="preserve"> INDEX( co_scalarInfo[scalarType], MATCH( scalarDataframe[[#This Row],[scalarName]], co_scalarInfo[scalarName], 0 ) )</f>
        <v>physAdj</v>
      </c>
      <c r="C1125" s="152" t="str">
        <f xml:space="preserve"> INDEX( co_scalarInfo[scalarLabel], MATCH( scalarDataframe[[#This Row],[scalarName]], co_scalarInfo[scalarName], 0 ) )</f>
        <v>MH Demographic Proportion Adjustment Factor</v>
      </c>
      <c r="D1125" s="24" t="s">
        <v>1316</v>
      </c>
      <c r="E1125" s="18" t="s">
        <v>7</v>
      </c>
      <c r="F1125" s="25">
        <v>2011</v>
      </c>
      <c r="G1125" s="26">
        <v>1.0068110448954199</v>
      </c>
    </row>
    <row r="1126" spans="1:7" x14ac:dyDescent="0.35">
      <c r="A1126" s="150">
        <f xml:space="preserve"> ROW( scalarDataframe[[#This Row],[row_id]] ) - ROW( scalarDataframe[[#Headers],[row_id]] )</f>
        <v>1125</v>
      </c>
      <c r="B1126" s="151" t="str">
        <f xml:space="preserve"> INDEX( co_scalarInfo[scalarType], MATCH( scalarDataframe[[#This Row],[scalarName]], co_scalarInfo[scalarName], 0 ) )</f>
        <v>physAdj</v>
      </c>
      <c r="C1126" s="152" t="str">
        <f xml:space="preserve"> INDEX( co_scalarInfo[scalarLabel], MATCH( scalarDataframe[[#This Row],[scalarName]], co_scalarInfo[scalarName], 0 ) )</f>
        <v>MH Demographic Proportion Adjustment Factor</v>
      </c>
      <c r="D1126" s="24" t="s">
        <v>1316</v>
      </c>
      <c r="E1126" s="18" t="s">
        <v>7</v>
      </c>
      <c r="F1126" s="25">
        <v>2013</v>
      </c>
      <c r="G1126" s="26">
        <v>1.00337400424402</v>
      </c>
    </row>
    <row r="1127" spans="1:7" x14ac:dyDescent="0.35">
      <c r="A1127" s="150">
        <f xml:space="preserve"> ROW( scalarDataframe[[#This Row],[row_id]] ) - ROW( scalarDataframe[[#Headers],[row_id]] )</f>
        <v>1126</v>
      </c>
      <c r="B1127" s="151" t="str">
        <f xml:space="preserve"> INDEX( co_scalarInfo[scalarType], MATCH( scalarDataframe[[#This Row],[scalarName]], co_scalarInfo[scalarName], 0 ) )</f>
        <v>physAdj</v>
      </c>
      <c r="C1127" s="152" t="str">
        <f xml:space="preserve"> INDEX( co_scalarInfo[scalarLabel], MATCH( scalarDataframe[[#This Row],[scalarName]], co_scalarInfo[scalarName], 0 ) )</f>
        <v>MH Demographic Proportion Adjustment Factor</v>
      </c>
      <c r="D1127" s="24" t="s">
        <v>1316</v>
      </c>
      <c r="E1127" s="18" t="s">
        <v>7</v>
      </c>
      <c r="F1127" s="25">
        <v>2017</v>
      </c>
      <c r="G1127" s="26">
        <v>0.99661113266946699</v>
      </c>
    </row>
    <row r="1128" spans="1:7" x14ac:dyDescent="0.35">
      <c r="A1128" s="150">
        <f xml:space="preserve"> ROW( scalarDataframe[[#This Row],[row_id]] ) - ROW( scalarDataframe[[#Headers],[row_id]] )</f>
        <v>1127</v>
      </c>
      <c r="B1128" s="151" t="str">
        <f xml:space="preserve"> INDEX( co_scalarInfo[scalarType], MATCH( scalarDataframe[[#This Row],[scalarName]], co_scalarInfo[scalarName], 0 ) )</f>
        <v>physAdj</v>
      </c>
      <c r="C1128" s="152" t="str">
        <f xml:space="preserve"> INDEX( co_scalarInfo[scalarLabel], MATCH( scalarDataframe[[#This Row],[scalarName]], co_scalarInfo[scalarName], 0 ) )</f>
        <v>MH Demographic Proportion Adjustment Factor</v>
      </c>
      <c r="D1128" s="24" t="s">
        <v>1316</v>
      </c>
      <c r="E1128" s="18" t="s">
        <v>7</v>
      </c>
      <c r="F1128" s="25">
        <v>2025</v>
      </c>
      <c r="G1128" s="26">
        <v>0.98776066481343705</v>
      </c>
    </row>
    <row r="1129" spans="1:7" x14ac:dyDescent="0.35">
      <c r="A1129" s="150">
        <f xml:space="preserve"> ROW( scalarDataframe[[#This Row],[row_id]] ) - ROW( scalarDataframe[[#Headers],[row_id]] )</f>
        <v>1128</v>
      </c>
      <c r="B1129" s="151" t="str">
        <f xml:space="preserve"> INDEX( co_scalarInfo[scalarType], MATCH( scalarDataframe[[#This Row],[scalarName]], co_scalarInfo[scalarName], 0 ) )</f>
        <v>physAdj</v>
      </c>
      <c r="C1129" s="152" t="str">
        <f xml:space="preserve"> INDEX( co_scalarInfo[scalarLabel], MATCH( scalarDataframe[[#This Row],[scalarName]], co_scalarInfo[scalarName], 0 ) )</f>
        <v>MH Demographic Proportion Adjustment Factor</v>
      </c>
      <c r="D1129" s="24" t="s">
        <v>1316</v>
      </c>
      <c r="E1129" s="18" t="s">
        <v>7</v>
      </c>
      <c r="F1129" s="25">
        <v>2029</v>
      </c>
      <c r="G1129" s="26">
        <v>0.98433331368784605</v>
      </c>
    </row>
    <row r="1130" spans="1:7" x14ac:dyDescent="0.35">
      <c r="A1130" s="150">
        <f xml:space="preserve"> ROW( scalarDataframe[[#This Row],[row_id]] ) - ROW( scalarDataframe[[#Headers],[row_id]] )</f>
        <v>1129</v>
      </c>
      <c r="B1130" s="151" t="str">
        <f xml:space="preserve"> INDEX( co_scalarInfo[scalarType], MATCH( scalarDataframe[[#This Row],[scalarName]], co_scalarInfo[scalarName], 0 ) )</f>
        <v>physAdj</v>
      </c>
      <c r="C1130" s="152" t="str">
        <f xml:space="preserve"> INDEX( co_scalarInfo[scalarLabel], MATCH( scalarDataframe[[#This Row],[scalarName]], co_scalarInfo[scalarName], 0 ) )</f>
        <v>MH Demographic Proportion Adjustment Factor</v>
      </c>
      <c r="D1130" s="24" t="s">
        <v>1316</v>
      </c>
      <c r="E1130" s="18" t="s">
        <v>7</v>
      </c>
      <c r="F1130" s="25">
        <v>2032</v>
      </c>
      <c r="G1130" s="26">
        <v>0.98379196835581595</v>
      </c>
    </row>
    <row r="1131" spans="1:7" x14ac:dyDescent="0.35">
      <c r="A1131" s="150">
        <f xml:space="preserve"> ROW( scalarDataframe[[#This Row],[row_id]] ) - ROW( scalarDataframe[[#Headers],[row_id]] )</f>
        <v>1130</v>
      </c>
      <c r="B1131" s="151" t="str">
        <f xml:space="preserve"> INDEX( co_scalarInfo[scalarType], MATCH( scalarDataframe[[#This Row],[scalarName]], co_scalarInfo[scalarName], 0 ) )</f>
        <v>physAdj</v>
      </c>
      <c r="C1131" s="152" t="str">
        <f xml:space="preserve"> INDEX( co_scalarInfo[scalarLabel], MATCH( scalarDataframe[[#This Row],[scalarName]], co_scalarInfo[scalarName], 0 ) )</f>
        <v>MH Demographic Proportion Adjustment Factor</v>
      </c>
      <c r="D1131" s="24" t="s">
        <v>1316</v>
      </c>
      <c r="E1131" s="18" t="s">
        <v>7</v>
      </c>
      <c r="F1131" s="25">
        <v>2033</v>
      </c>
      <c r="G1131" s="26">
        <v>0.98391701861770198</v>
      </c>
    </row>
    <row r="1132" spans="1:7" x14ac:dyDescent="0.35">
      <c r="A1132" s="150">
        <f xml:space="preserve"> ROW( scalarDataframe[[#This Row],[row_id]] ) - ROW( scalarDataframe[[#Headers],[row_id]] )</f>
        <v>1131</v>
      </c>
      <c r="B1132" s="151" t="str">
        <f xml:space="preserve"> INDEX( co_scalarInfo[scalarType], MATCH( scalarDataframe[[#This Row],[scalarName]], co_scalarInfo[scalarName], 0 ) )</f>
        <v>physAdj</v>
      </c>
      <c r="C1132" s="152" t="str">
        <f xml:space="preserve"> INDEX( co_scalarInfo[scalarLabel], MATCH( scalarDataframe[[#This Row],[scalarName]], co_scalarInfo[scalarName], 0 ) )</f>
        <v>MH Demographic Proportion Adjustment Factor</v>
      </c>
      <c r="D1132" s="24" t="s">
        <v>1316</v>
      </c>
      <c r="E1132" s="18" t="s">
        <v>7</v>
      </c>
      <c r="F1132" s="25">
        <v>2037</v>
      </c>
      <c r="G1132" s="26">
        <v>0.98445220235822295</v>
      </c>
    </row>
    <row r="1133" spans="1:7" x14ac:dyDescent="0.35">
      <c r="A1133" s="150">
        <f xml:space="preserve"> ROW( scalarDataframe[[#This Row],[row_id]] ) - ROW( scalarDataframe[[#Headers],[row_id]] )</f>
        <v>1132</v>
      </c>
      <c r="B1133" s="151" t="str">
        <f xml:space="preserve"> INDEX( co_scalarInfo[scalarType], MATCH( scalarDataframe[[#This Row],[scalarName]], co_scalarInfo[scalarName], 0 ) )</f>
        <v>physAdj</v>
      </c>
      <c r="C1133" s="152" t="str">
        <f xml:space="preserve"> INDEX( co_scalarInfo[scalarLabel], MATCH( scalarDataframe[[#This Row],[scalarName]], co_scalarInfo[scalarName], 0 ) )</f>
        <v>MH Demographic Proportion Adjustment Factor</v>
      </c>
      <c r="D1133" s="24" t="s">
        <v>1316</v>
      </c>
      <c r="E1133" s="18" t="s">
        <v>7</v>
      </c>
      <c r="F1133" s="25">
        <v>2044</v>
      </c>
      <c r="G1133" s="26">
        <v>0.98135413644813196</v>
      </c>
    </row>
    <row r="1134" spans="1:7" x14ac:dyDescent="0.35">
      <c r="A1134" s="150">
        <f xml:space="preserve"> ROW( scalarDataframe[[#This Row],[row_id]] ) - ROW( scalarDataframe[[#Headers],[row_id]] )</f>
        <v>1133</v>
      </c>
      <c r="B1134" s="151" t="str">
        <f xml:space="preserve"> INDEX( co_scalarInfo[scalarType], MATCH( scalarDataframe[[#This Row],[scalarName]], co_scalarInfo[scalarName], 0 ) )</f>
        <v>physAdj</v>
      </c>
      <c r="C1134" s="152" t="str">
        <f xml:space="preserve"> INDEX( co_scalarInfo[scalarLabel], MATCH( scalarDataframe[[#This Row],[scalarName]], co_scalarInfo[scalarName], 0 ) )</f>
        <v>MH Demographic Proportion Adjustment Factor</v>
      </c>
      <c r="D1134" s="24" t="s">
        <v>1316</v>
      </c>
      <c r="E1134" s="18" t="s">
        <v>7</v>
      </c>
      <c r="F1134" s="25">
        <v>2048</v>
      </c>
      <c r="G1134" s="26">
        <v>0.97831093994011997</v>
      </c>
    </row>
    <row r="1135" spans="1:7" x14ac:dyDescent="0.35">
      <c r="A1135" s="150">
        <f xml:space="preserve"> ROW( scalarDataframe[[#This Row],[row_id]] ) - ROW( scalarDataframe[[#Headers],[row_id]] )</f>
        <v>1134</v>
      </c>
      <c r="B1135" s="151" t="str">
        <f xml:space="preserve"> INDEX( co_scalarInfo[scalarType], MATCH( scalarDataframe[[#This Row],[scalarName]], co_scalarInfo[scalarName], 0 ) )</f>
        <v>physAdj</v>
      </c>
      <c r="C1135" s="152" t="str">
        <f xml:space="preserve"> INDEX( co_scalarInfo[scalarLabel], MATCH( scalarDataframe[[#This Row],[scalarName]], co_scalarInfo[scalarName], 0 ) )</f>
        <v>MH Demographic Proportion Adjustment Factor</v>
      </c>
      <c r="D1135" s="24" t="s">
        <v>1316</v>
      </c>
      <c r="E1135" s="18" t="s">
        <v>7</v>
      </c>
      <c r="F1135" s="25">
        <v>2049</v>
      </c>
      <c r="G1135" s="26">
        <v>0.97752027518008699</v>
      </c>
    </row>
    <row r="1136" spans="1:7" x14ac:dyDescent="0.35">
      <c r="A1136" s="150">
        <f xml:space="preserve"> ROW( scalarDataframe[[#This Row],[row_id]] ) - ROW( scalarDataframe[[#Headers],[row_id]] )</f>
        <v>1135</v>
      </c>
      <c r="B1136" s="151" t="str">
        <f xml:space="preserve"> INDEX( co_scalarInfo[scalarType], MATCH( scalarDataframe[[#This Row],[scalarName]], co_scalarInfo[scalarName], 0 ) )</f>
        <v>physAdj</v>
      </c>
      <c r="C1136" s="152" t="str">
        <f xml:space="preserve"> INDEX( co_scalarInfo[scalarLabel], MATCH( scalarDataframe[[#This Row],[scalarName]], co_scalarInfo[scalarName], 0 ) )</f>
        <v>MH Demographic Proportion Adjustment Factor</v>
      </c>
      <c r="D1136" s="24" t="s">
        <v>1316</v>
      </c>
      <c r="E1136" s="18" t="s">
        <v>7</v>
      </c>
      <c r="F1136" s="25">
        <v>2050</v>
      </c>
      <c r="G1136" s="26">
        <v>0.97669731199290799</v>
      </c>
    </row>
    <row r="1137" spans="1:7" x14ac:dyDescent="0.35">
      <c r="A1137" s="150">
        <f xml:space="preserve"> ROW( scalarDataframe[[#This Row],[row_id]] ) - ROW( scalarDataframe[[#Headers],[row_id]] )</f>
        <v>1136</v>
      </c>
      <c r="B1137" s="151" t="str">
        <f xml:space="preserve"> INDEX( co_scalarInfo[scalarType], MATCH( scalarDataframe[[#This Row],[scalarName]], co_scalarInfo[scalarName], 0 ) )</f>
        <v>physAdj</v>
      </c>
      <c r="C1137" s="152" t="str">
        <f xml:space="preserve"> INDEX( co_scalarInfo[scalarLabel], MATCH( scalarDataframe[[#This Row],[scalarName]], co_scalarInfo[scalarName], 0 ) )</f>
        <v>MH Demographic Proportion Adjustment Factor</v>
      </c>
      <c r="D1137" s="24" t="s">
        <v>1316</v>
      </c>
      <c r="E1137" s="18" t="s">
        <v>7</v>
      </c>
      <c r="F1137" s="25">
        <v>2052</v>
      </c>
      <c r="G1137" s="26">
        <v>0.975345945000891</v>
      </c>
    </row>
    <row r="1138" spans="1:7" x14ac:dyDescent="0.35">
      <c r="A1138" s="150">
        <f xml:space="preserve"> ROW( scalarDataframe[[#This Row],[row_id]] ) - ROW( scalarDataframe[[#Headers],[row_id]] )</f>
        <v>1137</v>
      </c>
      <c r="B1138" s="151" t="str">
        <f xml:space="preserve"> INDEX( co_scalarInfo[scalarType], MATCH( scalarDataframe[[#This Row],[scalarName]], co_scalarInfo[scalarName], 0 ) )</f>
        <v>physAdj</v>
      </c>
      <c r="C1138" s="152" t="str">
        <f xml:space="preserve"> INDEX( co_scalarInfo[scalarLabel], MATCH( scalarDataframe[[#This Row],[scalarName]], co_scalarInfo[scalarName], 0 ) )</f>
        <v>MH Demographic Proportion Adjustment Factor</v>
      </c>
      <c r="D1138" s="24" t="s">
        <v>1316</v>
      </c>
      <c r="E1138" s="18" t="s">
        <v>7</v>
      </c>
      <c r="F1138" s="25">
        <v>2055</v>
      </c>
      <c r="G1138" s="26">
        <v>0.97345017624087404</v>
      </c>
    </row>
    <row r="1139" spans="1:7" x14ac:dyDescent="0.35">
      <c r="A1139" s="150">
        <f xml:space="preserve"> ROW( scalarDataframe[[#This Row],[row_id]] ) - ROW( scalarDataframe[[#Headers],[row_id]] )</f>
        <v>1138</v>
      </c>
      <c r="B1139" s="151" t="str">
        <f xml:space="preserve"> INDEX( co_scalarInfo[scalarType], MATCH( scalarDataframe[[#This Row],[scalarName]], co_scalarInfo[scalarName], 0 ) )</f>
        <v>physAdj</v>
      </c>
      <c r="C1139" s="152" t="str">
        <f xml:space="preserve"> INDEX( co_scalarInfo[scalarLabel], MATCH( scalarDataframe[[#This Row],[scalarName]], co_scalarInfo[scalarName], 0 ) )</f>
        <v>MH Demographic Proportion Adjustment Factor</v>
      </c>
      <c r="D1139" s="24" t="s">
        <v>1316</v>
      </c>
      <c r="E1139" s="18" t="s">
        <v>7</v>
      </c>
      <c r="F1139" s="25">
        <v>2059</v>
      </c>
      <c r="G1139" s="26">
        <v>0.97137097748661905</v>
      </c>
    </row>
    <row r="1140" spans="1:7" x14ac:dyDescent="0.35">
      <c r="A1140" s="150">
        <f xml:space="preserve"> ROW( scalarDataframe[[#This Row],[row_id]] ) - ROW( scalarDataframe[[#Headers],[row_id]] )</f>
        <v>1139</v>
      </c>
      <c r="B1140" s="151" t="str">
        <f xml:space="preserve"> INDEX( co_scalarInfo[scalarType], MATCH( scalarDataframe[[#This Row],[scalarName]], co_scalarInfo[scalarName], 0 ) )</f>
        <v>physAdj</v>
      </c>
      <c r="C1140" s="152" t="str">
        <f xml:space="preserve"> INDEX( co_scalarInfo[scalarLabel], MATCH( scalarDataframe[[#This Row],[scalarName]], co_scalarInfo[scalarName], 0 ) )</f>
        <v>MH Demographic Proportion Adjustment Factor</v>
      </c>
      <c r="D1140" s="24" t="s">
        <v>1316</v>
      </c>
      <c r="E1140" s="18" t="s">
        <v>7</v>
      </c>
      <c r="F1140" s="25">
        <v>2061</v>
      </c>
      <c r="G1140" s="26">
        <v>0.97047225784510605</v>
      </c>
    </row>
    <row r="1141" spans="1:7" x14ac:dyDescent="0.35">
      <c r="A1141" s="150">
        <f xml:space="preserve"> ROW( scalarDataframe[[#This Row],[row_id]] ) - ROW( scalarDataframe[[#Headers],[row_id]] )</f>
        <v>1140</v>
      </c>
      <c r="B1141" s="151" t="str">
        <f xml:space="preserve"> INDEX( co_scalarInfo[scalarType], MATCH( scalarDataframe[[#This Row],[scalarName]], co_scalarInfo[scalarName], 0 ) )</f>
        <v>physAdj</v>
      </c>
      <c r="C1141" s="152" t="str">
        <f xml:space="preserve"> INDEX( co_scalarInfo[scalarLabel], MATCH( scalarDataframe[[#This Row],[scalarName]], co_scalarInfo[scalarName], 0 ) )</f>
        <v>MH Demographic Proportion Adjustment Factor</v>
      </c>
      <c r="D1141" s="24" t="s">
        <v>1316</v>
      </c>
      <c r="E1141" s="18" t="s">
        <v>7</v>
      </c>
      <c r="F1141" s="25">
        <v>2062</v>
      </c>
      <c r="G1141" s="26">
        <v>0.97060098441862297</v>
      </c>
    </row>
    <row r="1142" spans="1:7" x14ac:dyDescent="0.35">
      <c r="A1142" s="150">
        <f xml:space="preserve"> ROW( scalarDataframe[[#This Row],[row_id]] ) - ROW( scalarDataframe[[#Headers],[row_id]] )</f>
        <v>1141</v>
      </c>
      <c r="B1142" s="151" t="str">
        <f xml:space="preserve"> INDEX( co_scalarInfo[scalarType], MATCH( scalarDataframe[[#This Row],[scalarName]], co_scalarInfo[scalarName], 0 ) )</f>
        <v>physAdj</v>
      </c>
      <c r="C1142" s="152" t="str">
        <f xml:space="preserve"> INDEX( co_scalarInfo[scalarLabel], MATCH( scalarDataframe[[#This Row],[scalarName]], co_scalarInfo[scalarName], 0 ) )</f>
        <v>MH Demographic Proportion Adjustment Factor</v>
      </c>
      <c r="D1142" s="24" t="s">
        <v>1316</v>
      </c>
      <c r="E1142" s="18" t="s">
        <v>7</v>
      </c>
      <c r="F1142" s="25">
        <v>2064</v>
      </c>
      <c r="G1142" s="26">
        <v>0.97020476528834798</v>
      </c>
    </row>
    <row r="1143" spans="1:7" x14ac:dyDescent="0.35">
      <c r="A1143" s="150">
        <f xml:space="preserve"> ROW( scalarDataframe[[#This Row],[row_id]] ) - ROW( scalarDataframe[[#Headers],[row_id]] )</f>
        <v>1142</v>
      </c>
      <c r="B1143" s="151" t="str">
        <f xml:space="preserve"> INDEX( co_scalarInfo[scalarType], MATCH( scalarDataframe[[#This Row],[scalarName]], co_scalarInfo[scalarName], 0 ) )</f>
        <v>physAdj</v>
      </c>
      <c r="C1143" s="152" t="str">
        <f xml:space="preserve"> INDEX( co_scalarInfo[scalarLabel], MATCH( scalarDataframe[[#This Row],[scalarName]], co_scalarInfo[scalarName], 0 ) )</f>
        <v>MH Demographic Proportion Adjustment Factor</v>
      </c>
      <c r="D1143" s="24" t="s">
        <v>1316</v>
      </c>
      <c r="E1143" s="18" t="s">
        <v>7</v>
      </c>
      <c r="F1143" s="25">
        <v>2067</v>
      </c>
      <c r="G1143" s="26">
        <v>0.97033074958096599</v>
      </c>
    </row>
    <row r="1144" spans="1:7" x14ac:dyDescent="0.35">
      <c r="A1144" s="150">
        <f xml:space="preserve"> ROW( scalarDataframe[[#This Row],[row_id]] ) - ROW( scalarDataframe[[#Headers],[row_id]] )</f>
        <v>1143</v>
      </c>
      <c r="B1144" s="151" t="str">
        <f xml:space="preserve"> INDEX( co_scalarInfo[scalarType], MATCH( scalarDataframe[[#This Row],[scalarName]], co_scalarInfo[scalarName], 0 ) )</f>
        <v>physAdj</v>
      </c>
      <c r="C1144" s="152" t="str">
        <f xml:space="preserve"> INDEX( co_scalarInfo[scalarLabel], MATCH( scalarDataframe[[#This Row],[scalarName]], co_scalarInfo[scalarName], 0 ) )</f>
        <v>MH Demographic Proportion Adjustment Factor</v>
      </c>
      <c r="D1144" s="24" t="s">
        <v>1316</v>
      </c>
      <c r="E1144" s="18" t="s">
        <v>7</v>
      </c>
      <c r="F1144" s="25">
        <v>2071</v>
      </c>
      <c r="G1144" s="26">
        <v>0.96960487115488103</v>
      </c>
    </row>
    <row r="1145" spans="1:7" x14ac:dyDescent="0.35">
      <c r="A1145" s="150">
        <f xml:space="preserve"> ROW( scalarDataframe[[#This Row],[row_id]] ) - ROW( scalarDataframe[[#Headers],[row_id]] )</f>
        <v>1144</v>
      </c>
      <c r="B1145" s="151" t="str">
        <f xml:space="preserve"> INDEX( co_scalarInfo[scalarType], MATCH( scalarDataframe[[#This Row],[scalarName]], co_scalarInfo[scalarName], 0 ) )</f>
        <v>physAdj</v>
      </c>
      <c r="C1145" s="152" t="str">
        <f xml:space="preserve"> INDEX( co_scalarInfo[scalarLabel], MATCH( scalarDataframe[[#This Row],[scalarName]], co_scalarInfo[scalarName], 0 ) )</f>
        <v>MH Demographic Proportion Adjustment Factor</v>
      </c>
      <c r="D1145" s="24" t="s">
        <v>1316</v>
      </c>
      <c r="E1145" s="18" t="s">
        <v>7</v>
      </c>
      <c r="F1145" s="25">
        <v>2076</v>
      </c>
      <c r="G1145" s="26">
        <v>0.96801639787276905</v>
      </c>
    </row>
    <row r="1146" spans="1:7" x14ac:dyDescent="0.35">
      <c r="A1146" s="150">
        <f xml:space="preserve"> ROW( scalarDataframe[[#This Row],[row_id]] ) - ROW( scalarDataframe[[#Headers],[row_id]] )</f>
        <v>1145</v>
      </c>
      <c r="B1146" s="151" t="str">
        <f xml:space="preserve"> INDEX( co_scalarInfo[scalarType], MATCH( scalarDataframe[[#This Row],[scalarName]], co_scalarInfo[scalarName], 0 ) )</f>
        <v>physAdj</v>
      </c>
      <c r="C1146" s="152" t="str">
        <f xml:space="preserve"> INDEX( co_scalarInfo[scalarLabel], MATCH( scalarDataframe[[#This Row],[scalarName]], co_scalarInfo[scalarName], 0 ) )</f>
        <v>MH Demographic Proportion Adjustment Factor</v>
      </c>
      <c r="D1146" s="24" t="s">
        <v>1316</v>
      </c>
      <c r="E1146" s="18" t="s">
        <v>7</v>
      </c>
      <c r="F1146" s="25">
        <v>2077</v>
      </c>
      <c r="G1146" s="26">
        <v>0.96772346599502201</v>
      </c>
    </row>
    <row r="1147" spans="1:7" x14ac:dyDescent="0.35">
      <c r="A1147" s="150">
        <f xml:space="preserve"> ROW( scalarDataframe[[#This Row],[row_id]] ) - ROW( scalarDataframe[[#Headers],[row_id]] )</f>
        <v>1146</v>
      </c>
      <c r="B1147" s="151" t="str">
        <f xml:space="preserve"> INDEX( co_scalarInfo[scalarType], MATCH( scalarDataframe[[#This Row],[scalarName]], co_scalarInfo[scalarName], 0 ) )</f>
        <v>physAdj</v>
      </c>
      <c r="C1147" s="152" t="str">
        <f xml:space="preserve"> INDEX( co_scalarInfo[scalarLabel], MATCH( scalarDataframe[[#This Row],[scalarName]], co_scalarInfo[scalarName], 0 ) )</f>
        <v>MH Demographic Proportion Adjustment Factor</v>
      </c>
      <c r="D1147" s="24" t="s">
        <v>1316</v>
      </c>
      <c r="E1147" s="18" t="s">
        <v>7</v>
      </c>
      <c r="F1147" s="25">
        <v>2081</v>
      </c>
      <c r="G1147" s="26">
        <v>0.96685945340602097</v>
      </c>
    </row>
    <row r="1148" spans="1:7" x14ac:dyDescent="0.35">
      <c r="A1148" s="150">
        <f xml:space="preserve"> ROW( scalarDataframe[[#This Row],[row_id]] ) - ROW( scalarDataframe[[#Headers],[row_id]] )</f>
        <v>1147</v>
      </c>
      <c r="B1148" s="151" t="str">
        <f xml:space="preserve"> INDEX( co_scalarInfo[scalarType], MATCH( scalarDataframe[[#This Row],[scalarName]], co_scalarInfo[scalarName], 0 ) )</f>
        <v>physAdj</v>
      </c>
      <c r="C1148" s="152" t="str">
        <f xml:space="preserve"> INDEX( co_scalarInfo[scalarLabel], MATCH( scalarDataframe[[#This Row],[scalarName]], co_scalarInfo[scalarName], 0 ) )</f>
        <v>MH Demographic Proportion Adjustment Factor</v>
      </c>
      <c r="D1148" s="24" t="s">
        <v>1316</v>
      </c>
      <c r="E1148" s="18" t="s">
        <v>7</v>
      </c>
      <c r="F1148" s="25">
        <v>2082</v>
      </c>
      <c r="G1148" s="26">
        <v>0.96694952645844401</v>
      </c>
    </row>
    <row r="1149" spans="1:7" x14ac:dyDescent="0.35">
      <c r="A1149" s="150">
        <f xml:space="preserve"> ROW( scalarDataframe[[#This Row],[row_id]] ) - ROW( scalarDataframe[[#Headers],[row_id]] )</f>
        <v>1148</v>
      </c>
      <c r="B1149" s="151" t="str">
        <f xml:space="preserve"> INDEX( co_scalarInfo[scalarType], MATCH( scalarDataframe[[#This Row],[scalarName]], co_scalarInfo[scalarName], 0 ) )</f>
        <v>physAdj</v>
      </c>
      <c r="C1149" s="152" t="str">
        <f xml:space="preserve"> INDEX( co_scalarInfo[scalarLabel], MATCH( scalarDataframe[[#This Row],[scalarName]], co_scalarInfo[scalarName], 0 ) )</f>
        <v>MH Demographic Proportion Adjustment Factor</v>
      </c>
      <c r="D1149" s="24" t="s">
        <v>1316</v>
      </c>
      <c r="E1149" s="18" t="s">
        <v>7</v>
      </c>
      <c r="F1149" s="25">
        <v>2087</v>
      </c>
      <c r="G1149" s="26">
        <v>0.96670340107064801</v>
      </c>
    </row>
    <row r="1150" spans="1:7" x14ac:dyDescent="0.35">
      <c r="A1150" s="150">
        <f xml:space="preserve"> ROW( scalarDataframe[[#This Row],[row_id]] ) - ROW( scalarDataframe[[#Headers],[row_id]] )</f>
        <v>1149</v>
      </c>
      <c r="B1150" s="151" t="str">
        <f xml:space="preserve"> INDEX( co_scalarInfo[scalarType], MATCH( scalarDataframe[[#This Row],[scalarName]], co_scalarInfo[scalarName], 0 ) )</f>
        <v>physAdj</v>
      </c>
      <c r="C1150" s="152" t="str">
        <f xml:space="preserve"> INDEX( co_scalarInfo[scalarLabel], MATCH( scalarDataframe[[#This Row],[scalarName]], co_scalarInfo[scalarName], 0 ) )</f>
        <v>MH Demographic Proportion Adjustment Factor</v>
      </c>
      <c r="D1150" s="24" t="s">
        <v>1316</v>
      </c>
      <c r="E1150" s="18" t="s">
        <v>7</v>
      </c>
      <c r="F1150" s="25">
        <v>2091</v>
      </c>
      <c r="G1150" s="26">
        <v>0.96880700254581997</v>
      </c>
    </row>
    <row r="1151" spans="1:7" x14ac:dyDescent="0.35">
      <c r="A1151" s="150">
        <f xml:space="preserve"> ROW( scalarDataframe[[#This Row],[row_id]] ) - ROW( scalarDataframe[[#Headers],[row_id]] )</f>
        <v>1150</v>
      </c>
      <c r="B1151" s="151" t="str">
        <f xml:space="preserve"> INDEX( co_scalarInfo[scalarType], MATCH( scalarDataframe[[#This Row],[scalarName]], co_scalarInfo[scalarName], 0 ) )</f>
        <v>physAdj</v>
      </c>
      <c r="C1151" s="152" t="str">
        <f xml:space="preserve"> INDEX( co_scalarInfo[scalarLabel], MATCH( scalarDataframe[[#This Row],[scalarName]], co_scalarInfo[scalarName], 0 ) )</f>
        <v>MH Demographic Proportion Adjustment Factor</v>
      </c>
      <c r="D1151" s="24" t="s">
        <v>1316</v>
      </c>
      <c r="E1151" s="18" t="s">
        <v>8</v>
      </c>
      <c r="F1151" s="25">
        <v>2011</v>
      </c>
      <c r="G1151" s="26">
        <v>1.0000085958285301</v>
      </c>
    </row>
    <row r="1152" spans="1:7" x14ac:dyDescent="0.35">
      <c r="A1152" s="150">
        <f xml:space="preserve"> ROW( scalarDataframe[[#This Row],[row_id]] ) - ROW( scalarDataframe[[#Headers],[row_id]] )</f>
        <v>1151</v>
      </c>
      <c r="B1152" s="151" t="str">
        <f xml:space="preserve"> INDEX( co_scalarInfo[scalarType], MATCH( scalarDataframe[[#This Row],[scalarName]], co_scalarInfo[scalarName], 0 ) )</f>
        <v>physAdj</v>
      </c>
      <c r="C1152" s="152" t="str">
        <f xml:space="preserve"> INDEX( co_scalarInfo[scalarLabel], MATCH( scalarDataframe[[#This Row],[scalarName]], co_scalarInfo[scalarName], 0 ) )</f>
        <v>MH Demographic Proportion Adjustment Factor</v>
      </c>
      <c r="D1152" s="24" t="s">
        <v>1316</v>
      </c>
      <c r="E1152" s="18" t="s">
        <v>8</v>
      </c>
      <c r="F1152" s="25">
        <v>2013</v>
      </c>
      <c r="G1152" s="26">
        <v>1.00001011389183</v>
      </c>
    </row>
    <row r="1153" spans="1:7" x14ac:dyDescent="0.35">
      <c r="A1153" s="150">
        <f xml:space="preserve"> ROW( scalarDataframe[[#This Row],[row_id]] ) - ROW( scalarDataframe[[#Headers],[row_id]] )</f>
        <v>1152</v>
      </c>
      <c r="B1153" s="151" t="str">
        <f xml:space="preserve"> INDEX( co_scalarInfo[scalarType], MATCH( scalarDataframe[[#This Row],[scalarName]], co_scalarInfo[scalarName], 0 ) )</f>
        <v>physAdj</v>
      </c>
      <c r="C1153" s="152" t="str">
        <f xml:space="preserve"> INDEX( co_scalarInfo[scalarLabel], MATCH( scalarDataframe[[#This Row],[scalarName]], co_scalarInfo[scalarName], 0 ) )</f>
        <v>MH Demographic Proportion Adjustment Factor</v>
      </c>
      <c r="D1153" s="24" t="s">
        <v>1316</v>
      </c>
      <c r="E1153" s="18" t="s">
        <v>8</v>
      </c>
      <c r="F1153" s="25">
        <v>2017</v>
      </c>
      <c r="G1153" s="26">
        <v>0.99964420282838795</v>
      </c>
    </row>
    <row r="1154" spans="1:7" x14ac:dyDescent="0.35">
      <c r="A1154" s="150">
        <f xml:space="preserve"> ROW( scalarDataframe[[#This Row],[row_id]] ) - ROW( scalarDataframe[[#Headers],[row_id]] )</f>
        <v>1153</v>
      </c>
      <c r="B1154" s="151" t="str">
        <f xml:space="preserve"> INDEX( co_scalarInfo[scalarType], MATCH( scalarDataframe[[#This Row],[scalarName]], co_scalarInfo[scalarName], 0 ) )</f>
        <v>physAdj</v>
      </c>
      <c r="C1154" s="152" t="str">
        <f xml:space="preserve"> INDEX( co_scalarInfo[scalarLabel], MATCH( scalarDataframe[[#This Row],[scalarName]], co_scalarInfo[scalarName], 0 ) )</f>
        <v>MH Demographic Proportion Adjustment Factor</v>
      </c>
      <c r="D1154" s="24" t="s">
        <v>1316</v>
      </c>
      <c r="E1154" s="18" t="s">
        <v>8</v>
      </c>
      <c r="F1154" s="25">
        <v>2025</v>
      </c>
      <c r="G1154" s="26">
        <v>1.00465582883895</v>
      </c>
    </row>
    <row r="1155" spans="1:7" x14ac:dyDescent="0.35">
      <c r="A1155" s="150">
        <f xml:space="preserve"> ROW( scalarDataframe[[#This Row],[row_id]] ) - ROW( scalarDataframe[[#Headers],[row_id]] )</f>
        <v>1154</v>
      </c>
      <c r="B1155" s="151" t="str">
        <f xml:space="preserve"> INDEX( co_scalarInfo[scalarType], MATCH( scalarDataframe[[#This Row],[scalarName]], co_scalarInfo[scalarName], 0 ) )</f>
        <v>physAdj</v>
      </c>
      <c r="C1155" s="152" t="str">
        <f xml:space="preserve"> INDEX( co_scalarInfo[scalarLabel], MATCH( scalarDataframe[[#This Row],[scalarName]], co_scalarInfo[scalarName], 0 ) )</f>
        <v>MH Demographic Proportion Adjustment Factor</v>
      </c>
      <c r="D1155" s="24" t="s">
        <v>1316</v>
      </c>
      <c r="E1155" s="18" t="s">
        <v>8</v>
      </c>
      <c r="F1155" s="25">
        <v>2029</v>
      </c>
      <c r="G1155" s="26">
        <v>1.0086880866444901</v>
      </c>
    </row>
    <row r="1156" spans="1:7" x14ac:dyDescent="0.35">
      <c r="A1156" s="150">
        <f xml:space="preserve"> ROW( scalarDataframe[[#This Row],[row_id]] ) - ROW( scalarDataframe[[#Headers],[row_id]] )</f>
        <v>1155</v>
      </c>
      <c r="B1156" s="151" t="str">
        <f xml:space="preserve"> INDEX( co_scalarInfo[scalarType], MATCH( scalarDataframe[[#This Row],[scalarName]], co_scalarInfo[scalarName], 0 ) )</f>
        <v>physAdj</v>
      </c>
      <c r="C1156" s="152" t="str">
        <f xml:space="preserve"> INDEX( co_scalarInfo[scalarLabel], MATCH( scalarDataframe[[#This Row],[scalarName]], co_scalarInfo[scalarName], 0 ) )</f>
        <v>MH Demographic Proportion Adjustment Factor</v>
      </c>
      <c r="D1156" s="24" t="s">
        <v>1316</v>
      </c>
      <c r="E1156" s="18" t="s">
        <v>8</v>
      </c>
      <c r="F1156" s="25">
        <v>2032</v>
      </c>
      <c r="G1156" s="26">
        <v>1.0135005253471701</v>
      </c>
    </row>
    <row r="1157" spans="1:7" x14ac:dyDescent="0.35">
      <c r="A1157" s="150">
        <f xml:space="preserve"> ROW( scalarDataframe[[#This Row],[row_id]] ) - ROW( scalarDataframe[[#Headers],[row_id]] )</f>
        <v>1156</v>
      </c>
      <c r="B1157" s="151" t="str">
        <f xml:space="preserve"> INDEX( co_scalarInfo[scalarType], MATCH( scalarDataframe[[#This Row],[scalarName]], co_scalarInfo[scalarName], 0 ) )</f>
        <v>physAdj</v>
      </c>
      <c r="C1157" s="152" t="str">
        <f xml:space="preserve"> INDEX( co_scalarInfo[scalarLabel], MATCH( scalarDataframe[[#This Row],[scalarName]], co_scalarInfo[scalarName], 0 ) )</f>
        <v>MH Demographic Proportion Adjustment Factor</v>
      </c>
      <c r="D1157" s="24" t="s">
        <v>1316</v>
      </c>
      <c r="E1157" s="18" t="s">
        <v>8</v>
      </c>
      <c r="F1157" s="25">
        <v>2033</v>
      </c>
      <c r="G1157" s="26">
        <v>1.01538550450773</v>
      </c>
    </row>
    <row r="1158" spans="1:7" x14ac:dyDescent="0.35">
      <c r="A1158" s="150">
        <f xml:space="preserve"> ROW( scalarDataframe[[#This Row],[row_id]] ) - ROW( scalarDataframe[[#Headers],[row_id]] )</f>
        <v>1157</v>
      </c>
      <c r="B1158" s="151" t="str">
        <f xml:space="preserve"> INDEX( co_scalarInfo[scalarType], MATCH( scalarDataframe[[#This Row],[scalarName]], co_scalarInfo[scalarName], 0 ) )</f>
        <v>physAdj</v>
      </c>
      <c r="C1158" s="152" t="str">
        <f xml:space="preserve"> INDEX( co_scalarInfo[scalarLabel], MATCH( scalarDataframe[[#This Row],[scalarName]], co_scalarInfo[scalarName], 0 ) )</f>
        <v>MH Demographic Proportion Adjustment Factor</v>
      </c>
      <c r="D1158" s="24" t="s">
        <v>1316</v>
      </c>
      <c r="E1158" s="18" t="s">
        <v>8</v>
      </c>
      <c r="F1158" s="25">
        <v>2037</v>
      </c>
      <c r="G1158" s="26">
        <v>1.0230243417617499</v>
      </c>
    </row>
    <row r="1159" spans="1:7" x14ac:dyDescent="0.35">
      <c r="A1159" s="150">
        <f xml:space="preserve"> ROW( scalarDataframe[[#This Row],[row_id]] ) - ROW( scalarDataframe[[#Headers],[row_id]] )</f>
        <v>1158</v>
      </c>
      <c r="B1159" s="151" t="str">
        <f xml:space="preserve"> INDEX( co_scalarInfo[scalarType], MATCH( scalarDataframe[[#This Row],[scalarName]], co_scalarInfo[scalarName], 0 ) )</f>
        <v>physAdj</v>
      </c>
      <c r="C1159" s="152" t="str">
        <f xml:space="preserve"> INDEX( co_scalarInfo[scalarLabel], MATCH( scalarDataframe[[#This Row],[scalarName]], co_scalarInfo[scalarName], 0 ) )</f>
        <v>MH Demographic Proportion Adjustment Factor</v>
      </c>
      <c r="D1159" s="24" t="s">
        <v>1316</v>
      </c>
      <c r="E1159" s="18" t="s">
        <v>8</v>
      </c>
      <c r="F1159" s="25">
        <v>2044</v>
      </c>
      <c r="G1159" s="26">
        <v>1.02724196452887</v>
      </c>
    </row>
    <row r="1160" spans="1:7" x14ac:dyDescent="0.35">
      <c r="A1160" s="150">
        <f xml:space="preserve"> ROW( scalarDataframe[[#This Row],[row_id]] ) - ROW( scalarDataframe[[#Headers],[row_id]] )</f>
        <v>1159</v>
      </c>
      <c r="B1160" s="151" t="str">
        <f xml:space="preserve"> INDEX( co_scalarInfo[scalarType], MATCH( scalarDataframe[[#This Row],[scalarName]], co_scalarInfo[scalarName], 0 ) )</f>
        <v>physAdj</v>
      </c>
      <c r="C1160" s="152" t="str">
        <f xml:space="preserve"> INDEX( co_scalarInfo[scalarLabel], MATCH( scalarDataframe[[#This Row],[scalarName]], co_scalarInfo[scalarName], 0 ) )</f>
        <v>MH Demographic Proportion Adjustment Factor</v>
      </c>
      <c r="D1160" s="24" t="s">
        <v>1316</v>
      </c>
      <c r="E1160" s="18" t="s">
        <v>8</v>
      </c>
      <c r="F1160" s="25">
        <v>2048</v>
      </c>
      <c r="G1160" s="26">
        <v>1.0257870179404001</v>
      </c>
    </row>
    <row r="1161" spans="1:7" x14ac:dyDescent="0.35">
      <c r="A1161" s="150">
        <f xml:space="preserve"> ROW( scalarDataframe[[#This Row],[row_id]] ) - ROW( scalarDataframe[[#Headers],[row_id]] )</f>
        <v>1160</v>
      </c>
      <c r="B1161" s="151" t="str">
        <f xml:space="preserve"> INDEX( co_scalarInfo[scalarType], MATCH( scalarDataframe[[#This Row],[scalarName]], co_scalarInfo[scalarName], 0 ) )</f>
        <v>physAdj</v>
      </c>
      <c r="C1161" s="152" t="str">
        <f xml:space="preserve"> INDEX( co_scalarInfo[scalarLabel], MATCH( scalarDataframe[[#This Row],[scalarName]], co_scalarInfo[scalarName], 0 ) )</f>
        <v>MH Demographic Proportion Adjustment Factor</v>
      </c>
      <c r="D1161" s="24" t="s">
        <v>1316</v>
      </c>
      <c r="E1161" s="18" t="s">
        <v>8</v>
      </c>
      <c r="F1161" s="25">
        <v>2049</v>
      </c>
      <c r="G1161" s="26">
        <v>1.0255352338748001</v>
      </c>
    </row>
    <row r="1162" spans="1:7" x14ac:dyDescent="0.35">
      <c r="A1162" s="150">
        <f xml:space="preserve"> ROW( scalarDataframe[[#This Row],[row_id]] ) - ROW( scalarDataframe[[#Headers],[row_id]] )</f>
        <v>1161</v>
      </c>
      <c r="B1162" s="151" t="str">
        <f xml:space="preserve"> INDEX( co_scalarInfo[scalarType], MATCH( scalarDataframe[[#This Row],[scalarName]], co_scalarInfo[scalarName], 0 ) )</f>
        <v>physAdj</v>
      </c>
      <c r="C1162" s="152" t="str">
        <f xml:space="preserve"> INDEX( co_scalarInfo[scalarLabel], MATCH( scalarDataframe[[#This Row],[scalarName]], co_scalarInfo[scalarName], 0 ) )</f>
        <v>MH Demographic Proportion Adjustment Factor</v>
      </c>
      <c r="D1162" s="24" t="s">
        <v>1316</v>
      </c>
      <c r="E1162" s="18" t="s">
        <v>8</v>
      </c>
      <c r="F1162" s="25">
        <v>2050</v>
      </c>
      <c r="G1162" s="26">
        <v>1.02524308422616</v>
      </c>
    </row>
    <row r="1163" spans="1:7" x14ac:dyDescent="0.35">
      <c r="A1163" s="150">
        <f xml:space="preserve"> ROW( scalarDataframe[[#This Row],[row_id]] ) - ROW( scalarDataframe[[#Headers],[row_id]] )</f>
        <v>1162</v>
      </c>
      <c r="B1163" s="151" t="str">
        <f xml:space="preserve"> INDEX( co_scalarInfo[scalarType], MATCH( scalarDataframe[[#This Row],[scalarName]], co_scalarInfo[scalarName], 0 ) )</f>
        <v>physAdj</v>
      </c>
      <c r="C1163" s="152" t="str">
        <f xml:space="preserve"> INDEX( co_scalarInfo[scalarLabel], MATCH( scalarDataframe[[#This Row],[scalarName]], co_scalarInfo[scalarName], 0 ) )</f>
        <v>MH Demographic Proportion Adjustment Factor</v>
      </c>
      <c r="D1163" s="24" t="s">
        <v>1316</v>
      </c>
      <c r="E1163" s="18" t="s">
        <v>8</v>
      </c>
      <c r="F1163" s="25">
        <v>2052</v>
      </c>
      <c r="G1163" s="26">
        <v>1.0263472012734001</v>
      </c>
    </row>
    <row r="1164" spans="1:7" x14ac:dyDescent="0.35">
      <c r="A1164" s="150">
        <f xml:space="preserve"> ROW( scalarDataframe[[#This Row],[row_id]] ) - ROW( scalarDataframe[[#Headers],[row_id]] )</f>
        <v>1163</v>
      </c>
      <c r="B1164" s="151" t="str">
        <f xml:space="preserve"> INDEX( co_scalarInfo[scalarType], MATCH( scalarDataframe[[#This Row],[scalarName]], co_scalarInfo[scalarName], 0 ) )</f>
        <v>physAdj</v>
      </c>
      <c r="C1164" s="152" t="str">
        <f xml:space="preserve"> INDEX( co_scalarInfo[scalarLabel], MATCH( scalarDataframe[[#This Row],[scalarName]], co_scalarInfo[scalarName], 0 ) )</f>
        <v>MH Demographic Proportion Adjustment Factor</v>
      </c>
      <c r="D1164" s="24" t="s">
        <v>1316</v>
      </c>
      <c r="E1164" s="18" t="s">
        <v>8</v>
      </c>
      <c r="F1164" s="25">
        <v>2055</v>
      </c>
      <c r="G1164" s="26">
        <v>1.0280543267197599</v>
      </c>
    </row>
    <row r="1165" spans="1:7" x14ac:dyDescent="0.35">
      <c r="A1165" s="150">
        <f xml:space="preserve"> ROW( scalarDataframe[[#This Row],[row_id]] ) - ROW( scalarDataframe[[#Headers],[row_id]] )</f>
        <v>1164</v>
      </c>
      <c r="B1165" s="151" t="str">
        <f xml:space="preserve"> INDEX( co_scalarInfo[scalarType], MATCH( scalarDataframe[[#This Row],[scalarName]], co_scalarInfo[scalarName], 0 ) )</f>
        <v>physAdj</v>
      </c>
      <c r="C1165" s="152" t="str">
        <f xml:space="preserve"> INDEX( co_scalarInfo[scalarLabel], MATCH( scalarDataframe[[#This Row],[scalarName]], co_scalarInfo[scalarName], 0 ) )</f>
        <v>MH Demographic Proportion Adjustment Factor</v>
      </c>
      <c r="D1165" s="24" t="s">
        <v>1316</v>
      </c>
      <c r="E1165" s="18" t="s">
        <v>8</v>
      </c>
      <c r="F1165" s="25">
        <v>2059</v>
      </c>
      <c r="G1165" s="26">
        <v>1.0302932538873699</v>
      </c>
    </row>
    <row r="1166" spans="1:7" x14ac:dyDescent="0.35">
      <c r="A1166" s="150">
        <f xml:space="preserve"> ROW( scalarDataframe[[#This Row],[row_id]] ) - ROW( scalarDataframe[[#Headers],[row_id]] )</f>
        <v>1165</v>
      </c>
      <c r="B1166" s="151" t="str">
        <f xml:space="preserve"> INDEX( co_scalarInfo[scalarType], MATCH( scalarDataframe[[#This Row],[scalarName]], co_scalarInfo[scalarName], 0 ) )</f>
        <v>physAdj</v>
      </c>
      <c r="C1166" s="152" t="str">
        <f xml:space="preserve"> INDEX( co_scalarInfo[scalarLabel], MATCH( scalarDataframe[[#This Row],[scalarName]], co_scalarInfo[scalarName], 0 ) )</f>
        <v>MH Demographic Proportion Adjustment Factor</v>
      </c>
      <c r="D1166" s="24" t="s">
        <v>1316</v>
      </c>
      <c r="E1166" s="18" t="s">
        <v>8</v>
      </c>
      <c r="F1166" s="25">
        <v>2061</v>
      </c>
      <c r="G1166" s="26">
        <v>1.0321688280293999</v>
      </c>
    </row>
    <row r="1167" spans="1:7" x14ac:dyDescent="0.35">
      <c r="A1167" s="150">
        <f xml:space="preserve"> ROW( scalarDataframe[[#This Row],[row_id]] ) - ROW( scalarDataframe[[#Headers],[row_id]] )</f>
        <v>1166</v>
      </c>
      <c r="B1167" s="151" t="str">
        <f xml:space="preserve"> INDEX( co_scalarInfo[scalarType], MATCH( scalarDataframe[[#This Row],[scalarName]], co_scalarInfo[scalarName], 0 ) )</f>
        <v>physAdj</v>
      </c>
      <c r="C1167" s="152" t="str">
        <f xml:space="preserve"> INDEX( co_scalarInfo[scalarLabel], MATCH( scalarDataframe[[#This Row],[scalarName]], co_scalarInfo[scalarName], 0 ) )</f>
        <v>MH Demographic Proportion Adjustment Factor</v>
      </c>
      <c r="D1167" s="24" t="s">
        <v>1316</v>
      </c>
      <c r="E1167" s="18" t="s">
        <v>8</v>
      </c>
      <c r="F1167" s="25">
        <v>2062</v>
      </c>
      <c r="G1167" s="26">
        <v>1.03354778328911</v>
      </c>
    </row>
    <row r="1168" spans="1:7" x14ac:dyDescent="0.35">
      <c r="A1168" s="150">
        <f xml:space="preserve"> ROW( scalarDataframe[[#This Row],[row_id]] ) - ROW( scalarDataframe[[#Headers],[row_id]] )</f>
        <v>1167</v>
      </c>
      <c r="B1168" s="151" t="str">
        <f xml:space="preserve"> INDEX( co_scalarInfo[scalarType], MATCH( scalarDataframe[[#This Row],[scalarName]], co_scalarInfo[scalarName], 0 ) )</f>
        <v>physAdj</v>
      </c>
      <c r="C1168" s="152" t="str">
        <f xml:space="preserve"> INDEX( co_scalarInfo[scalarLabel], MATCH( scalarDataframe[[#This Row],[scalarName]], co_scalarInfo[scalarName], 0 ) )</f>
        <v>MH Demographic Proportion Adjustment Factor</v>
      </c>
      <c r="D1168" s="24" t="s">
        <v>1316</v>
      </c>
      <c r="E1168" s="18" t="s">
        <v>8</v>
      </c>
      <c r="F1168" s="25">
        <v>2064</v>
      </c>
      <c r="G1168" s="26">
        <v>1.0361699169257199</v>
      </c>
    </row>
    <row r="1169" spans="1:7" x14ac:dyDescent="0.35">
      <c r="A1169" s="150">
        <f xml:space="preserve"> ROW( scalarDataframe[[#This Row],[row_id]] ) - ROW( scalarDataframe[[#Headers],[row_id]] )</f>
        <v>1168</v>
      </c>
      <c r="B1169" s="151" t="str">
        <f xml:space="preserve"> INDEX( co_scalarInfo[scalarType], MATCH( scalarDataframe[[#This Row],[scalarName]], co_scalarInfo[scalarName], 0 ) )</f>
        <v>physAdj</v>
      </c>
      <c r="C1169" s="152" t="str">
        <f xml:space="preserve"> INDEX( co_scalarInfo[scalarLabel], MATCH( scalarDataframe[[#This Row],[scalarName]], co_scalarInfo[scalarName], 0 ) )</f>
        <v>MH Demographic Proportion Adjustment Factor</v>
      </c>
      <c r="D1169" s="24" t="s">
        <v>1316</v>
      </c>
      <c r="E1169" s="18" t="s">
        <v>8</v>
      </c>
      <c r="F1169" s="25">
        <v>2067</v>
      </c>
      <c r="G1169" s="26">
        <v>1.04009193338484</v>
      </c>
    </row>
    <row r="1170" spans="1:7" x14ac:dyDescent="0.35">
      <c r="A1170" s="150">
        <f xml:space="preserve"> ROW( scalarDataframe[[#This Row],[row_id]] ) - ROW( scalarDataframe[[#Headers],[row_id]] )</f>
        <v>1169</v>
      </c>
      <c r="B1170" s="151" t="str">
        <f xml:space="preserve"> INDEX( co_scalarInfo[scalarType], MATCH( scalarDataframe[[#This Row],[scalarName]], co_scalarInfo[scalarName], 0 ) )</f>
        <v>physAdj</v>
      </c>
      <c r="C1170" s="152" t="str">
        <f xml:space="preserve"> INDEX( co_scalarInfo[scalarLabel], MATCH( scalarDataframe[[#This Row],[scalarName]], co_scalarInfo[scalarName], 0 ) )</f>
        <v>MH Demographic Proportion Adjustment Factor</v>
      </c>
      <c r="D1170" s="24" t="s">
        <v>1316</v>
      </c>
      <c r="E1170" s="18" t="s">
        <v>8</v>
      </c>
      <c r="F1170" s="25">
        <v>2071</v>
      </c>
      <c r="G1170" s="26">
        <v>1.0443365823727899</v>
      </c>
    </row>
    <row r="1171" spans="1:7" x14ac:dyDescent="0.35">
      <c r="A1171" s="150">
        <f xml:space="preserve"> ROW( scalarDataframe[[#This Row],[row_id]] ) - ROW( scalarDataframe[[#Headers],[row_id]] )</f>
        <v>1170</v>
      </c>
      <c r="B1171" s="151" t="str">
        <f xml:space="preserve"> INDEX( co_scalarInfo[scalarType], MATCH( scalarDataframe[[#This Row],[scalarName]], co_scalarInfo[scalarName], 0 ) )</f>
        <v>physAdj</v>
      </c>
      <c r="C1171" s="152" t="str">
        <f xml:space="preserve"> INDEX( co_scalarInfo[scalarLabel], MATCH( scalarDataframe[[#This Row],[scalarName]], co_scalarInfo[scalarName], 0 ) )</f>
        <v>MH Demographic Proportion Adjustment Factor</v>
      </c>
      <c r="D1171" s="24" t="s">
        <v>1316</v>
      </c>
      <c r="E1171" s="18" t="s">
        <v>8</v>
      </c>
      <c r="F1171" s="25">
        <v>2076</v>
      </c>
      <c r="G1171" s="26">
        <v>1.0454022777884</v>
      </c>
    </row>
    <row r="1172" spans="1:7" x14ac:dyDescent="0.35">
      <c r="A1172" s="150">
        <f xml:space="preserve"> ROW( scalarDataframe[[#This Row],[row_id]] ) - ROW( scalarDataframe[[#Headers],[row_id]] )</f>
        <v>1171</v>
      </c>
      <c r="B1172" s="151" t="str">
        <f xml:space="preserve"> INDEX( co_scalarInfo[scalarType], MATCH( scalarDataframe[[#This Row],[scalarName]], co_scalarInfo[scalarName], 0 ) )</f>
        <v>physAdj</v>
      </c>
      <c r="C1172" s="152" t="str">
        <f xml:space="preserve"> INDEX( co_scalarInfo[scalarLabel], MATCH( scalarDataframe[[#This Row],[scalarName]], co_scalarInfo[scalarName], 0 ) )</f>
        <v>MH Demographic Proportion Adjustment Factor</v>
      </c>
      <c r="D1172" s="24" t="s">
        <v>1316</v>
      </c>
      <c r="E1172" s="18" t="s">
        <v>8</v>
      </c>
      <c r="F1172" s="25">
        <v>2077</v>
      </c>
      <c r="G1172" s="26">
        <v>1.0458140054037699</v>
      </c>
    </row>
    <row r="1173" spans="1:7" x14ac:dyDescent="0.35">
      <c r="A1173" s="150">
        <f xml:space="preserve"> ROW( scalarDataframe[[#This Row],[row_id]] ) - ROW( scalarDataframe[[#Headers],[row_id]] )</f>
        <v>1172</v>
      </c>
      <c r="B1173" s="151" t="str">
        <f xml:space="preserve"> INDEX( co_scalarInfo[scalarType], MATCH( scalarDataframe[[#This Row],[scalarName]], co_scalarInfo[scalarName], 0 ) )</f>
        <v>physAdj</v>
      </c>
      <c r="C1173" s="152" t="str">
        <f xml:space="preserve"> INDEX( co_scalarInfo[scalarLabel], MATCH( scalarDataframe[[#This Row],[scalarName]], co_scalarInfo[scalarName], 0 ) )</f>
        <v>MH Demographic Proportion Adjustment Factor</v>
      </c>
      <c r="D1173" s="24" t="s">
        <v>1316</v>
      </c>
      <c r="E1173" s="18" t="s">
        <v>8</v>
      </c>
      <c r="F1173" s="25">
        <v>2081</v>
      </c>
      <c r="G1173" s="26">
        <v>1.0467632740441399</v>
      </c>
    </row>
    <row r="1174" spans="1:7" x14ac:dyDescent="0.35">
      <c r="A1174" s="150">
        <f xml:space="preserve"> ROW( scalarDataframe[[#This Row],[row_id]] ) - ROW( scalarDataframe[[#Headers],[row_id]] )</f>
        <v>1173</v>
      </c>
      <c r="B1174" s="151" t="str">
        <f xml:space="preserve"> INDEX( co_scalarInfo[scalarType], MATCH( scalarDataframe[[#This Row],[scalarName]], co_scalarInfo[scalarName], 0 ) )</f>
        <v>physAdj</v>
      </c>
      <c r="C1174" s="152" t="str">
        <f xml:space="preserve"> INDEX( co_scalarInfo[scalarLabel], MATCH( scalarDataframe[[#This Row],[scalarName]], co_scalarInfo[scalarName], 0 ) )</f>
        <v>MH Demographic Proportion Adjustment Factor</v>
      </c>
      <c r="D1174" s="24" t="s">
        <v>1316</v>
      </c>
      <c r="E1174" s="18" t="s">
        <v>8</v>
      </c>
      <c r="F1174" s="25">
        <v>2082</v>
      </c>
      <c r="G1174" s="26">
        <v>1.04741698034796</v>
      </c>
    </row>
    <row r="1175" spans="1:7" x14ac:dyDescent="0.35">
      <c r="A1175" s="150">
        <f xml:space="preserve"> ROW( scalarDataframe[[#This Row],[row_id]] ) - ROW( scalarDataframe[[#Headers],[row_id]] )</f>
        <v>1174</v>
      </c>
      <c r="B1175" s="151" t="str">
        <f xml:space="preserve"> INDEX( co_scalarInfo[scalarType], MATCH( scalarDataframe[[#This Row],[scalarName]], co_scalarInfo[scalarName], 0 ) )</f>
        <v>physAdj</v>
      </c>
      <c r="C1175" s="152" t="str">
        <f xml:space="preserve"> INDEX( co_scalarInfo[scalarLabel], MATCH( scalarDataframe[[#This Row],[scalarName]], co_scalarInfo[scalarName], 0 ) )</f>
        <v>MH Demographic Proportion Adjustment Factor</v>
      </c>
      <c r="D1175" s="24" t="s">
        <v>1316</v>
      </c>
      <c r="E1175" s="18" t="s">
        <v>8</v>
      </c>
      <c r="F1175" s="25">
        <v>2087</v>
      </c>
      <c r="G1175" s="26">
        <v>1.0495860178745999</v>
      </c>
    </row>
    <row r="1176" spans="1:7" x14ac:dyDescent="0.35">
      <c r="A1176" s="150">
        <f xml:space="preserve"> ROW( scalarDataframe[[#This Row],[row_id]] ) - ROW( scalarDataframe[[#Headers],[row_id]] )</f>
        <v>1175</v>
      </c>
      <c r="B1176" s="151" t="str">
        <f xml:space="preserve"> INDEX( co_scalarInfo[scalarType], MATCH( scalarDataframe[[#This Row],[scalarName]], co_scalarInfo[scalarName], 0 ) )</f>
        <v>physAdj</v>
      </c>
      <c r="C1176" s="152" t="str">
        <f xml:space="preserve"> INDEX( co_scalarInfo[scalarLabel], MATCH( scalarDataframe[[#This Row],[scalarName]], co_scalarInfo[scalarName], 0 ) )</f>
        <v>MH Demographic Proportion Adjustment Factor</v>
      </c>
      <c r="D1176" s="24" t="s">
        <v>1316</v>
      </c>
      <c r="E1176" s="18" t="s">
        <v>8</v>
      </c>
      <c r="F1176" s="25">
        <v>2091</v>
      </c>
      <c r="G1176" s="26">
        <v>1.05142065504116</v>
      </c>
    </row>
    <row r="1177" spans="1:7" x14ac:dyDescent="0.35">
      <c r="A1177" s="150">
        <f xml:space="preserve"> ROW( scalarDataframe[[#This Row],[row_id]] ) - ROW( scalarDataframe[[#Headers],[row_id]] )</f>
        <v>1176</v>
      </c>
      <c r="B1177" s="151" t="str">
        <f xml:space="preserve"> INDEX( co_scalarInfo[scalarType], MATCH( scalarDataframe[[#This Row],[scalarName]], co_scalarInfo[scalarName], 0 ) )</f>
        <v>physAdj</v>
      </c>
      <c r="C1177" s="152" t="str">
        <f xml:space="preserve"> INDEX( co_scalarInfo[scalarLabel], MATCH( scalarDataframe[[#This Row],[scalarName]], co_scalarInfo[scalarName], 0 ) )</f>
        <v>MH Demographic Proportion Adjustment Factor</v>
      </c>
      <c r="D1177" s="24" t="s">
        <v>1316</v>
      </c>
      <c r="E1177" s="18" t="s">
        <v>9</v>
      </c>
      <c r="F1177" s="25">
        <v>2011</v>
      </c>
      <c r="G1177" s="26">
        <v>0.99906623206444301</v>
      </c>
    </row>
    <row r="1178" spans="1:7" x14ac:dyDescent="0.35">
      <c r="A1178" s="150">
        <f xml:space="preserve"> ROW( scalarDataframe[[#This Row],[row_id]] ) - ROW( scalarDataframe[[#Headers],[row_id]] )</f>
        <v>1177</v>
      </c>
      <c r="B1178" s="151" t="str">
        <f xml:space="preserve"> INDEX( co_scalarInfo[scalarType], MATCH( scalarDataframe[[#This Row],[scalarName]], co_scalarInfo[scalarName], 0 ) )</f>
        <v>physAdj</v>
      </c>
      <c r="C1178" s="152" t="str">
        <f xml:space="preserve"> INDEX( co_scalarInfo[scalarLabel], MATCH( scalarDataframe[[#This Row],[scalarName]], co_scalarInfo[scalarName], 0 ) )</f>
        <v>MH Demographic Proportion Adjustment Factor</v>
      </c>
      <c r="D1178" s="24" t="s">
        <v>1316</v>
      </c>
      <c r="E1178" s="18" t="s">
        <v>9</v>
      </c>
      <c r="F1178" s="25">
        <v>2013</v>
      </c>
      <c r="G1178" s="26">
        <v>0.99954042906459395</v>
      </c>
    </row>
    <row r="1179" spans="1:7" x14ac:dyDescent="0.35">
      <c r="A1179" s="150">
        <f xml:space="preserve"> ROW( scalarDataframe[[#This Row],[row_id]] ) - ROW( scalarDataframe[[#Headers],[row_id]] )</f>
        <v>1178</v>
      </c>
      <c r="B1179" s="151" t="str">
        <f xml:space="preserve"> INDEX( co_scalarInfo[scalarType], MATCH( scalarDataframe[[#This Row],[scalarName]], co_scalarInfo[scalarName], 0 ) )</f>
        <v>physAdj</v>
      </c>
      <c r="C1179" s="152" t="str">
        <f xml:space="preserve"> INDEX( co_scalarInfo[scalarLabel], MATCH( scalarDataframe[[#This Row],[scalarName]], co_scalarInfo[scalarName], 0 ) )</f>
        <v>MH Demographic Proportion Adjustment Factor</v>
      </c>
      <c r="D1179" s="24" t="s">
        <v>1316</v>
      </c>
      <c r="E1179" s="18" t="s">
        <v>9</v>
      </c>
      <c r="F1179" s="25">
        <v>2017</v>
      </c>
      <c r="G1179" s="26">
        <v>1.0003392640217601</v>
      </c>
    </row>
    <row r="1180" spans="1:7" x14ac:dyDescent="0.35">
      <c r="A1180" s="150">
        <f xml:space="preserve"> ROW( scalarDataframe[[#This Row],[row_id]] ) - ROW( scalarDataframe[[#Headers],[row_id]] )</f>
        <v>1179</v>
      </c>
      <c r="B1180" s="151" t="str">
        <f xml:space="preserve"> INDEX( co_scalarInfo[scalarType], MATCH( scalarDataframe[[#This Row],[scalarName]], co_scalarInfo[scalarName], 0 ) )</f>
        <v>physAdj</v>
      </c>
      <c r="C1180" s="152" t="str">
        <f xml:space="preserve"> INDEX( co_scalarInfo[scalarLabel], MATCH( scalarDataframe[[#This Row],[scalarName]], co_scalarInfo[scalarName], 0 ) )</f>
        <v>MH Demographic Proportion Adjustment Factor</v>
      </c>
      <c r="D1180" s="24" t="s">
        <v>1316</v>
      </c>
      <c r="E1180" s="18" t="s">
        <v>9</v>
      </c>
      <c r="F1180" s="25">
        <v>2025</v>
      </c>
      <c r="G1180" s="26">
        <v>1.00702969361898</v>
      </c>
    </row>
    <row r="1181" spans="1:7" x14ac:dyDescent="0.35">
      <c r="A1181" s="150">
        <f xml:space="preserve"> ROW( scalarDataframe[[#This Row],[row_id]] ) - ROW( scalarDataframe[[#Headers],[row_id]] )</f>
        <v>1180</v>
      </c>
      <c r="B1181" s="151" t="str">
        <f xml:space="preserve"> INDEX( co_scalarInfo[scalarType], MATCH( scalarDataframe[[#This Row],[scalarName]], co_scalarInfo[scalarName], 0 ) )</f>
        <v>physAdj</v>
      </c>
      <c r="C1181" s="152" t="str">
        <f xml:space="preserve"> INDEX( co_scalarInfo[scalarLabel], MATCH( scalarDataframe[[#This Row],[scalarName]], co_scalarInfo[scalarName], 0 ) )</f>
        <v>MH Demographic Proportion Adjustment Factor</v>
      </c>
      <c r="D1181" s="24" t="s">
        <v>1316</v>
      </c>
      <c r="E1181" s="18" t="s">
        <v>9</v>
      </c>
      <c r="F1181" s="25">
        <v>2029</v>
      </c>
      <c r="G1181" s="26">
        <v>1.01198125386406</v>
      </c>
    </row>
    <row r="1182" spans="1:7" x14ac:dyDescent="0.35">
      <c r="A1182" s="150">
        <f xml:space="preserve"> ROW( scalarDataframe[[#This Row],[row_id]] ) - ROW( scalarDataframe[[#Headers],[row_id]] )</f>
        <v>1181</v>
      </c>
      <c r="B1182" s="151" t="str">
        <f xml:space="preserve"> INDEX( co_scalarInfo[scalarType], MATCH( scalarDataframe[[#This Row],[scalarName]], co_scalarInfo[scalarName], 0 ) )</f>
        <v>physAdj</v>
      </c>
      <c r="C1182" s="152" t="str">
        <f xml:space="preserve"> INDEX( co_scalarInfo[scalarLabel], MATCH( scalarDataframe[[#This Row],[scalarName]], co_scalarInfo[scalarName], 0 ) )</f>
        <v>MH Demographic Proportion Adjustment Factor</v>
      </c>
      <c r="D1182" s="24" t="s">
        <v>1316</v>
      </c>
      <c r="E1182" s="18" t="s">
        <v>9</v>
      </c>
      <c r="F1182" s="25">
        <v>2032</v>
      </c>
      <c r="G1182" s="26">
        <v>1.01562722552066</v>
      </c>
    </row>
    <row r="1183" spans="1:7" x14ac:dyDescent="0.35">
      <c r="A1183" s="150">
        <f xml:space="preserve"> ROW( scalarDataframe[[#This Row],[row_id]] ) - ROW( scalarDataframe[[#Headers],[row_id]] )</f>
        <v>1182</v>
      </c>
      <c r="B1183" s="151" t="str">
        <f xml:space="preserve"> INDEX( co_scalarInfo[scalarType], MATCH( scalarDataframe[[#This Row],[scalarName]], co_scalarInfo[scalarName], 0 ) )</f>
        <v>physAdj</v>
      </c>
      <c r="C1183" s="152" t="str">
        <f xml:space="preserve"> INDEX( co_scalarInfo[scalarLabel], MATCH( scalarDataframe[[#This Row],[scalarName]], co_scalarInfo[scalarName], 0 ) )</f>
        <v>MH Demographic Proportion Adjustment Factor</v>
      </c>
      <c r="D1183" s="24" t="s">
        <v>1316</v>
      </c>
      <c r="E1183" s="18" t="s">
        <v>9</v>
      </c>
      <c r="F1183" s="25">
        <v>2033</v>
      </c>
      <c r="G1183" s="26">
        <v>1.0168034409089901</v>
      </c>
    </row>
    <row r="1184" spans="1:7" x14ac:dyDescent="0.35">
      <c r="A1184" s="150">
        <f xml:space="preserve"> ROW( scalarDataframe[[#This Row],[row_id]] ) - ROW( scalarDataframe[[#Headers],[row_id]] )</f>
        <v>1183</v>
      </c>
      <c r="B1184" s="151" t="str">
        <f xml:space="preserve"> INDEX( co_scalarInfo[scalarType], MATCH( scalarDataframe[[#This Row],[scalarName]], co_scalarInfo[scalarName], 0 ) )</f>
        <v>physAdj</v>
      </c>
      <c r="C1184" s="152" t="str">
        <f xml:space="preserve"> INDEX( co_scalarInfo[scalarLabel], MATCH( scalarDataframe[[#This Row],[scalarName]], co_scalarInfo[scalarName], 0 ) )</f>
        <v>MH Demographic Proportion Adjustment Factor</v>
      </c>
      <c r="D1184" s="24" t="s">
        <v>1316</v>
      </c>
      <c r="E1184" s="18" t="s">
        <v>9</v>
      </c>
      <c r="F1184" s="25">
        <v>2037</v>
      </c>
      <c r="G1184" s="26">
        <v>1.0216272728389</v>
      </c>
    </row>
    <row r="1185" spans="1:7" x14ac:dyDescent="0.35">
      <c r="A1185" s="150">
        <f xml:space="preserve"> ROW( scalarDataframe[[#This Row],[row_id]] ) - ROW( scalarDataframe[[#Headers],[row_id]] )</f>
        <v>1184</v>
      </c>
      <c r="B1185" s="151" t="str">
        <f xml:space="preserve"> INDEX( co_scalarInfo[scalarType], MATCH( scalarDataframe[[#This Row],[scalarName]], co_scalarInfo[scalarName], 0 ) )</f>
        <v>physAdj</v>
      </c>
      <c r="C1185" s="152" t="str">
        <f xml:space="preserve"> INDEX( co_scalarInfo[scalarLabel], MATCH( scalarDataframe[[#This Row],[scalarName]], co_scalarInfo[scalarName], 0 ) )</f>
        <v>MH Demographic Proportion Adjustment Factor</v>
      </c>
      <c r="D1185" s="24" t="s">
        <v>1316</v>
      </c>
      <c r="E1185" s="18" t="s">
        <v>9</v>
      </c>
      <c r="F1185" s="25">
        <v>2044</v>
      </c>
      <c r="G1185" s="26">
        <v>1.0250872851851101</v>
      </c>
    </row>
    <row r="1186" spans="1:7" x14ac:dyDescent="0.35">
      <c r="A1186" s="150">
        <f xml:space="preserve"> ROW( scalarDataframe[[#This Row],[row_id]] ) - ROW( scalarDataframe[[#Headers],[row_id]] )</f>
        <v>1185</v>
      </c>
      <c r="B1186" s="151" t="str">
        <f xml:space="preserve"> INDEX( co_scalarInfo[scalarType], MATCH( scalarDataframe[[#This Row],[scalarName]], co_scalarInfo[scalarName], 0 ) )</f>
        <v>physAdj</v>
      </c>
      <c r="C1186" s="152" t="str">
        <f xml:space="preserve"> INDEX( co_scalarInfo[scalarLabel], MATCH( scalarDataframe[[#This Row],[scalarName]], co_scalarInfo[scalarName], 0 ) )</f>
        <v>MH Demographic Proportion Adjustment Factor</v>
      </c>
      <c r="D1186" s="24" t="s">
        <v>1316</v>
      </c>
      <c r="E1186" s="18" t="s">
        <v>9</v>
      </c>
      <c r="F1186" s="25">
        <v>2048</v>
      </c>
      <c r="G1186" s="26">
        <v>1.0252136353057499</v>
      </c>
    </row>
    <row r="1187" spans="1:7" x14ac:dyDescent="0.35">
      <c r="A1187" s="150">
        <f xml:space="preserve"> ROW( scalarDataframe[[#This Row],[row_id]] ) - ROW( scalarDataframe[[#Headers],[row_id]] )</f>
        <v>1186</v>
      </c>
      <c r="B1187" s="151" t="str">
        <f xml:space="preserve"> INDEX( co_scalarInfo[scalarType], MATCH( scalarDataframe[[#This Row],[scalarName]], co_scalarInfo[scalarName], 0 ) )</f>
        <v>physAdj</v>
      </c>
      <c r="C1187" s="152" t="str">
        <f xml:space="preserve"> INDEX( co_scalarInfo[scalarLabel], MATCH( scalarDataframe[[#This Row],[scalarName]], co_scalarInfo[scalarName], 0 ) )</f>
        <v>MH Demographic Proportion Adjustment Factor</v>
      </c>
      <c r="D1187" s="24" t="s">
        <v>1316</v>
      </c>
      <c r="E1187" s="18" t="s">
        <v>9</v>
      </c>
      <c r="F1187" s="25">
        <v>2049</v>
      </c>
      <c r="G1187" s="26">
        <v>1.02529964815147</v>
      </c>
    </row>
    <row r="1188" spans="1:7" x14ac:dyDescent="0.35">
      <c r="A1188" s="150">
        <f xml:space="preserve"> ROW( scalarDataframe[[#This Row],[row_id]] ) - ROW( scalarDataframe[[#Headers],[row_id]] )</f>
        <v>1187</v>
      </c>
      <c r="B1188" s="151" t="str">
        <f xml:space="preserve"> INDEX( co_scalarInfo[scalarType], MATCH( scalarDataframe[[#This Row],[scalarName]], co_scalarInfo[scalarName], 0 ) )</f>
        <v>physAdj</v>
      </c>
      <c r="C1188" s="152" t="str">
        <f xml:space="preserve"> INDEX( co_scalarInfo[scalarLabel], MATCH( scalarDataframe[[#This Row],[scalarName]], co_scalarInfo[scalarName], 0 ) )</f>
        <v>MH Demographic Proportion Adjustment Factor</v>
      </c>
      <c r="D1188" s="24" t="s">
        <v>1316</v>
      </c>
      <c r="E1188" s="18" t="s">
        <v>9</v>
      </c>
      <c r="F1188" s="25">
        <v>2050</v>
      </c>
      <c r="G1188" s="26">
        <v>1.0253584507847</v>
      </c>
    </row>
    <row r="1189" spans="1:7" x14ac:dyDescent="0.35">
      <c r="A1189" s="150">
        <f xml:space="preserve"> ROW( scalarDataframe[[#This Row],[row_id]] ) - ROW( scalarDataframe[[#Headers],[row_id]] )</f>
        <v>1188</v>
      </c>
      <c r="B1189" s="151" t="str">
        <f xml:space="preserve"> INDEX( co_scalarInfo[scalarType], MATCH( scalarDataframe[[#This Row],[scalarName]], co_scalarInfo[scalarName], 0 ) )</f>
        <v>physAdj</v>
      </c>
      <c r="C1189" s="152" t="str">
        <f xml:space="preserve"> INDEX( co_scalarInfo[scalarLabel], MATCH( scalarDataframe[[#This Row],[scalarName]], co_scalarInfo[scalarName], 0 ) )</f>
        <v>MH Demographic Proportion Adjustment Factor</v>
      </c>
      <c r="D1189" s="24" t="s">
        <v>1316</v>
      </c>
      <c r="E1189" s="18" t="s">
        <v>9</v>
      </c>
      <c r="F1189" s="25">
        <v>2052</v>
      </c>
      <c r="G1189" s="26">
        <v>1.0264975667096801</v>
      </c>
    </row>
    <row r="1190" spans="1:7" x14ac:dyDescent="0.35">
      <c r="A1190" s="150">
        <f xml:space="preserve"> ROW( scalarDataframe[[#This Row],[row_id]] ) - ROW( scalarDataframe[[#Headers],[row_id]] )</f>
        <v>1189</v>
      </c>
      <c r="B1190" s="151" t="str">
        <f xml:space="preserve"> INDEX( co_scalarInfo[scalarType], MATCH( scalarDataframe[[#This Row],[scalarName]], co_scalarInfo[scalarName], 0 ) )</f>
        <v>physAdj</v>
      </c>
      <c r="C1190" s="152" t="str">
        <f xml:space="preserve"> INDEX( co_scalarInfo[scalarLabel], MATCH( scalarDataframe[[#This Row],[scalarName]], co_scalarInfo[scalarName], 0 ) )</f>
        <v>MH Demographic Proportion Adjustment Factor</v>
      </c>
      <c r="D1190" s="24" t="s">
        <v>1316</v>
      </c>
      <c r="E1190" s="18" t="s">
        <v>9</v>
      </c>
      <c r="F1190" s="25">
        <v>2055</v>
      </c>
      <c r="G1190" s="26">
        <v>1.0285381888237899</v>
      </c>
    </row>
    <row r="1191" spans="1:7" x14ac:dyDescent="0.35">
      <c r="A1191" s="150">
        <f xml:space="preserve"> ROW( scalarDataframe[[#This Row],[row_id]] ) - ROW( scalarDataframe[[#Headers],[row_id]] )</f>
        <v>1190</v>
      </c>
      <c r="B1191" s="151" t="str">
        <f xml:space="preserve"> INDEX( co_scalarInfo[scalarType], MATCH( scalarDataframe[[#This Row],[scalarName]], co_scalarInfo[scalarName], 0 ) )</f>
        <v>physAdj</v>
      </c>
      <c r="C1191" s="152" t="str">
        <f xml:space="preserve"> INDEX( co_scalarInfo[scalarLabel], MATCH( scalarDataframe[[#This Row],[scalarName]], co_scalarInfo[scalarName], 0 ) )</f>
        <v>MH Demographic Proportion Adjustment Factor</v>
      </c>
      <c r="D1191" s="24" t="s">
        <v>1316</v>
      </c>
      <c r="E1191" s="18" t="s">
        <v>9</v>
      </c>
      <c r="F1191" s="25">
        <v>2059</v>
      </c>
      <c r="G1191" s="26">
        <v>1.0313609376619299</v>
      </c>
    </row>
    <row r="1192" spans="1:7" x14ac:dyDescent="0.35">
      <c r="A1192" s="150">
        <f xml:space="preserve"> ROW( scalarDataframe[[#This Row],[row_id]] ) - ROW( scalarDataframe[[#Headers],[row_id]] )</f>
        <v>1191</v>
      </c>
      <c r="B1192" s="151" t="str">
        <f xml:space="preserve"> INDEX( co_scalarInfo[scalarType], MATCH( scalarDataframe[[#This Row],[scalarName]], co_scalarInfo[scalarName], 0 ) )</f>
        <v>physAdj</v>
      </c>
      <c r="C1192" s="152" t="str">
        <f xml:space="preserve"> INDEX( co_scalarInfo[scalarLabel], MATCH( scalarDataframe[[#This Row],[scalarName]], co_scalarInfo[scalarName], 0 ) )</f>
        <v>MH Demographic Proportion Adjustment Factor</v>
      </c>
      <c r="D1192" s="24" t="s">
        <v>1316</v>
      </c>
      <c r="E1192" s="18" t="s">
        <v>9</v>
      </c>
      <c r="F1192" s="25">
        <v>2061</v>
      </c>
      <c r="G1192" s="26">
        <v>1.03299370929685</v>
      </c>
    </row>
    <row r="1193" spans="1:7" x14ac:dyDescent="0.35">
      <c r="A1193" s="150">
        <f xml:space="preserve"> ROW( scalarDataframe[[#This Row],[row_id]] ) - ROW( scalarDataframe[[#Headers],[row_id]] )</f>
        <v>1192</v>
      </c>
      <c r="B1193" s="151" t="str">
        <f xml:space="preserve"> INDEX( co_scalarInfo[scalarType], MATCH( scalarDataframe[[#This Row],[scalarName]], co_scalarInfo[scalarName], 0 ) )</f>
        <v>physAdj</v>
      </c>
      <c r="C1193" s="152" t="str">
        <f xml:space="preserve"> INDEX( co_scalarInfo[scalarLabel], MATCH( scalarDataframe[[#This Row],[scalarName]], co_scalarInfo[scalarName], 0 ) )</f>
        <v>MH Demographic Proportion Adjustment Factor</v>
      </c>
      <c r="D1193" s="24" t="s">
        <v>1316</v>
      </c>
      <c r="E1193" s="18" t="s">
        <v>9</v>
      </c>
      <c r="F1193" s="25">
        <v>2062</v>
      </c>
      <c r="G1193" s="26">
        <v>1.03373777107192</v>
      </c>
    </row>
    <row r="1194" spans="1:7" x14ac:dyDescent="0.35">
      <c r="A1194" s="150">
        <f xml:space="preserve"> ROW( scalarDataframe[[#This Row],[row_id]] ) - ROW( scalarDataframe[[#Headers],[row_id]] )</f>
        <v>1193</v>
      </c>
      <c r="B1194" s="151" t="str">
        <f xml:space="preserve"> INDEX( co_scalarInfo[scalarType], MATCH( scalarDataframe[[#This Row],[scalarName]], co_scalarInfo[scalarName], 0 ) )</f>
        <v>physAdj</v>
      </c>
      <c r="C1194" s="152" t="str">
        <f xml:space="preserve"> INDEX( co_scalarInfo[scalarLabel], MATCH( scalarDataframe[[#This Row],[scalarName]], co_scalarInfo[scalarName], 0 ) )</f>
        <v>MH Demographic Proportion Adjustment Factor</v>
      </c>
      <c r="D1194" s="24" t="s">
        <v>1316</v>
      </c>
      <c r="E1194" s="18" t="s">
        <v>9</v>
      </c>
      <c r="F1194" s="25">
        <v>2064</v>
      </c>
      <c r="G1194" s="26">
        <v>1.0354904823858599</v>
      </c>
    </row>
    <row r="1195" spans="1:7" x14ac:dyDescent="0.35">
      <c r="A1195" s="150">
        <f xml:space="preserve"> ROW( scalarDataframe[[#This Row],[row_id]] ) - ROW( scalarDataframe[[#Headers],[row_id]] )</f>
        <v>1194</v>
      </c>
      <c r="B1195" s="151" t="str">
        <f xml:space="preserve"> INDEX( co_scalarInfo[scalarType], MATCH( scalarDataframe[[#This Row],[scalarName]], co_scalarInfo[scalarName], 0 ) )</f>
        <v>physAdj</v>
      </c>
      <c r="C1195" s="152" t="str">
        <f xml:space="preserve"> INDEX( co_scalarInfo[scalarLabel], MATCH( scalarDataframe[[#This Row],[scalarName]], co_scalarInfo[scalarName], 0 ) )</f>
        <v>MH Demographic Proportion Adjustment Factor</v>
      </c>
      <c r="D1195" s="24" t="s">
        <v>1316</v>
      </c>
      <c r="E1195" s="18" t="s">
        <v>9</v>
      </c>
      <c r="F1195" s="25">
        <v>2067</v>
      </c>
      <c r="G1195" s="26">
        <v>1.03810741237284</v>
      </c>
    </row>
    <row r="1196" spans="1:7" x14ac:dyDescent="0.35">
      <c r="A1196" s="150">
        <f xml:space="preserve"> ROW( scalarDataframe[[#This Row],[row_id]] ) - ROW( scalarDataframe[[#Headers],[row_id]] )</f>
        <v>1195</v>
      </c>
      <c r="B1196" s="151" t="str">
        <f xml:space="preserve"> INDEX( co_scalarInfo[scalarType], MATCH( scalarDataframe[[#This Row],[scalarName]], co_scalarInfo[scalarName], 0 ) )</f>
        <v>physAdj</v>
      </c>
      <c r="C1196" s="152" t="str">
        <f xml:space="preserve"> INDEX( co_scalarInfo[scalarLabel], MATCH( scalarDataframe[[#This Row],[scalarName]], co_scalarInfo[scalarName], 0 ) )</f>
        <v>MH Demographic Proportion Adjustment Factor</v>
      </c>
      <c r="D1196" s="24" t="s">
        <v>1316</v>
      </c>
      <c r="E1196" s="18" t="s">
        <v>9</v>
      </c>
      <c r="F1196" s="25">
        <v>2071</v>
      </c>
      <c r="G1196" s="26">
        <v>1.0410335762338501</v>
      </c>
    </row>
    <row r="1197" spans="1:7" x14ac:dyDescent="0.35">
      <c r="A1197" s="150">
        <f xml:space="preserve"> ROW( scalarDataframe[[#This Row],[row_id]] ) - ROW( scalarDataframe[[#Headers],[row_id]] )</f>
        <v>1196</v>
      </c>
      <c r="B1197" s="151" t="str">
        <f xml:space="preserve"> INDEX( co_scalarInfo[scalarType], MATCH( scalarDataframe[[#This Row],[scalarName]], co_scalarInfo[scalarName], 0 ) )</f>
        <v>physAdj</v>
      </c>
      <c r="C1197" s="152" t="str">
        <f xml:space="preserve"> INDEX( co_scalarInfo[scalarLabel], MATCH( scalarDataframe[[#This Row],[scalarName]], co_scalarInfo[scalarName], 0 ) )</f>
        <v>MH Demographic Proportion Adjustment Factor</v>
      </c>
      <c r="D1197" s="24" t="s">
        <v>1316</v>
      </c>
      <c r="E1197" s="18" t="s">
        <v>9</v>
      </c>
      <c r="F1197" s="25">
        <v>2076</v>
      </c>
      <c r="G1197" s="26">
        <v>1.04210334760381</v>
      </c>
    </row>
    <row r="1198" spans="1:7" x14ac:dyDescent="0.35">
      <c r="A1198" s="150">
        <f xml:space="preserve"> ROW( scalarDataframe[[#This Row],[row_id]] ) - ROW( scalarDataframe[[#Headers],[row_id]] )</f>
        <v>1197</v>
      </c>
      <c r="B1198" s="151" t="str">
        <f xml:space="preserve"> INDEX( co_scalarInfo[scalarType], MATCH( scalarDataframe[[#This Row],[scalarName]], co_scalarInfo[scalarName], 0 ) )</f>
        <v>physAdj</v>
      </c>
      <c r="C1198" s="152" t="str">
        <f xml:space="preserve"> INDEX( co_scalarInfo[scalarLabel], MATCH( scalarDataframe[[#This Row],[scalarName]], co_scalarInfo[scalarName], 0 ) )</f>
        <v>MH Demographic Proportion Adjustment Factor</v>
      </c>
      <c r="D1198" s="24" t="s">
        <v>1316</v>
      </c>
      <c r="E1198" s="18" t="s">
        <v>9</v>
      </c>
      <c r="F1198" s="25">
        <v>2077</v>
      </c>
      <c r="G1198" s="26">
        <v>1.0424433761154499</v>
      </c>
    </row>
    <row r="1199" spans="1:7" x14ac:dyDescent="0.35">
      <c r="A1199" s="150">
        <f xml:space="preserve"> ROW( scalarDataframe[[#This Row],[row_id]] ) - ROW( scalarDataframe[[#Headers],[row_id]] )</f>
        <v>1198</v>
      </c>
      <c r="B1199" s="151" t="str">
        <f xml:space="preserve"> INDEX( co_scalarInfo[scalarType], MATCH( scalarDataframe[[#This Row],[scalarName]], co_scalarInfo[scalarName], 0 ) )</f>
        <v>physAdj</v>
      </c>
      <c r="C1199" s="152" t="str">
        <f xml:space="preserve"> INDEX( co_scalarInfo[scalarLabel], MATCH( scalarDataframe[[#This Row],[scalarName]], co_scalarInfo[scalarName], 0 ) )</f>
        <v>MH Demographic Proportion Adjustment Factor</v>
      </c>
      <c r="D1199" s="24" t="s">
        <v>1316</v>
      </c>
      <c r="E1199" s="18" t="s">
        <v>9</v>
      </c>
      <c r="F1199" s="25">
        <v>2081</v>
      </c>
      <c r="G1199" s="26">
        <v>1.0438877072129999</v>
      </c>
    </row>
    <row r="1200" spans="1:7" x14ac:dyDescent="0.35">
      <c r="A1200" s="150">
        <f xml:space="preserve"> ROW( scalarDataframe[[#This Row],[row_id]] ) - ROW( scalarDataframe[[#Headers],[row_id]] )</f>
        <v>1199</v>
      </c>
      <c r="B1200" s="151" t="str">
        <f xml:space="preserve"> INDEX( co_scalarInfo[scalarType], MATCH( scalarDataframe[[#This Row],[scalarName]], co_scalarInfo[scalarName], 0 ) )</f>
        <v>physAdj</v>
      </c>
      <c r="C1200" s="152" t="str">
        <f xml:space="preserve"> INDEX( co_scalarInfo[scalarLabel], MATCH( scalarDataframe[[#This Row],[scalarName]], co_scalarInfo[scalarName], 0 ) )</f>
        <v>MH Demographic Proportion Adjustment Factor</v>
      </c>
      <c r="D1200" s="24" t="s">
        <v>1316</v>
      </c>
      <c r="E1200" s="18" t="s">
        <v>9</v>
      </c>
      <c r="F1200" s="25">
        <v>2082</v>
      </c>
      <c r="G1200" s="26">
        <v>1.04420576736286</v>
      </c>
    </row>
    <row r="1201" spans="1:7" x14ac:dyDescent="0.35">
      <c r="A1201" s="150">
        <f xml:space="preserve"> ROW( scalarDataframe[[#This Row],[row_id]] ) - ROW( scalarDataframe[[#Headers],[row_id]] )</f>
        <v>1200</v>
      </c>
      <c r="B1201" s="151" t="str">
        <f xml:space="preserve"> INDEX( co_scalarInfo[scalarType], MATCH( scalarDataframe[[#This Row],[scalarName]], co_scalarInfo[scalarName], 0 ) )</f>
        <v>physAdj</v>
      </c>
      <c r="C1201" s="152" t="str">
        <f xml:space="preserve"> INDEX( co_scalarInfo[scalarLabel], MATCH( scalarDataframe[[#This Row],[scalarName]], co_scalarInfo[scalarName], 0 ) )</f>
        <v>MH Demographic Proportion Adjustment Factor</v>
      </c>
      <c r="D1201" s="24" t="s">
        <v>1316</v>
      </c>
      <c r="E1201" s="18" t="s">
        <v>9</v>
      </c>
      <c r="F1201" s="25">
        <v>2087</v>
      </c>
      <c r="G1201" s="26">
        <v>1.0480141786611901</v>
      </c>
    </row>
    <row r="1202" spans="1:7" x14ac:dyDescent="0.35">
      <c r="A1202" s="150">
        <f xml:space="preserve"> ROW( scalarDataframe[[#This Row],[row_id]] ) - ROW( scalarDataframe[[#Headers],[row_id]] )</f>
        <v>1201</v>
      </c>
      <c r="B1202" s="151" t="str">
        <f xml:space="preserve"> INDEX( co_scalarInfo[scalarType], MATCH( scalarDataframe[[#This Row],[scalarName]], co_scalarInfo[scalarName], 0 ) )</f>
        <v>physAdj</v>
      </c>
      <c r="C1202" s="152" t="str">
        <f xml:space="preserve"> INDEX( co_scalarInfo[scalarLabel], MATCH( scalarDataframe[[#This Row],[scalarName]], co_scalarInfo[scalarName], 0 ) )</f>
        <v>MH Demographic Proportion Adjustment Factor</v>
      </c>
      <c r="D1202" s="24" t="s">
        <v>1316</v>
      </c>
      <c r="E1202" s="18" t="s">
        <v>9</v>
      </c>
      <c r="F1202" s="25">
        <v>2091</v>
      </c>
      <c r="G1202" s="26">
        <v>1.0510405119896</v>
      </c>
    </row>
    <row r="1203" spans="1:7" x14ac:dyDescent="0.35">
      <c r="A1203" s="150">
        <f xml:space="preserve"> ROW( scalarDataframe[[#This Row],[row_id]] ) - ROW( scalarDataframe[[#Headers],[row_id]] )</f>
        <v>1202</v>
      </c>
      <c r="B1203" s="151" t="str">
        <f xml:space="preserve"> INDEX( co_scalarInfo[scalarType], MATCH( scalarDataframe[[#This Row],[scalarName]], co_scalarInfo[scalarName], 0 ) )</f>
        <v>physAdj</v>
      </c>
      <c r="C1203" s="152" t="str">
        <f xml:space="preserve"> INDEX( co_scalarInfo[scalarLabel], MATCH( scalarDataframe[[#This Row],[scalarName]], co_scalarInfo[scalarName], 0 ) )</f>
        <v>MH Demographic Proportion Adjustment Factor</v>
      </c>
      <c r="D1203" s="24" t="s">
        <v>1316</v>
      </c>
      <c r="E1203" s="18" t="s">
        <v>10</v>
      </c>
      <c r="F1203" s="25">
        <v>2011</v>
      </c>
      <c r="G1203" s="26">
        <v>0.99656007861970297</v>
      </c>
    </row>
    <row r="1204" spans="1:7" x14ac:dyDescent="0.35">
      <c r="A1204" s="150">
        <f xml:space="preserve"> ROW( scalarDataframe[[#This Row],[row_id]] ) - ROW( scalarDataframe[[#Headers],[row_id]] )</f>
        <v>1203</v>
      </c>
      <c r="B1204" s="151" t="str">
        <f xml:space="preserve"> INDEX( co_scalarInfo[scalarType], MATCH( scalarDataframe[[#This Row],[scalarName]], co_scalarInfo[scalarName], 0 ) )</f>
        <v>physAdj</v>
      </c>
      <c r="C1204" s="152" t="str">
        <f xml:space="preserve"> INDEX( co_scalarInfo[scalarLabel], MATCH( scalarDataframe[[#This Row],[scalarName]], co_scalarInfo[scalarName], 0 ) )</f>
        <v>MH Demographic Proportion Adjustment Factor</v>
      </c>
      <c r="D1204" s="24" t="s">
        <v>1316</v>
      </c>
      <c r="E1204" s="18" t="s">
        <v>10</v>
      </c>
      <c r="F1204" s="25">
        <v>2013</v>
      </c>
      <c r="G1204" s="26">
        <v>0.99830980365097599</v>
      </c>
    </row>
    <row r="1205" spans="1:7" x14ac:dyDescent="0.35">
      <c r="A1205" s="150">
        <f xml:space="preserve"> ROW( scalarDataframe[[#This Row],[row_id]] ) - ROW( scalarDataframe[[#Headers],[row_id]] )</f>
        <v>1204</v>
      </c>
      <c r="B1205" s="151" t="str">
        <f xml:space="preserve"> INDEX( co_scalarInfo[scalarType], MATCH( scalarDataframe[[#This Row],[scalarName]], co_scalarInfo[scalarName], 0 ) )</f>
        <v>physAdj</v>
      </c>
      <c r="C1205" s="152" t="str">
        <f xml:space="preserve"> INDEX( co_scalarInfo[scalarLabel], MATCH( scalarDataframe[[#This Row],[scalarName]], co_scalarInfo[scalarName], 0 ) )</f>
        <v>MH Demographic Proportion Adjustment Factor</v>
      </c>
      <c r="D1205" s="24" t="s">
        <v>1316</v>
      </c>
      <c r="E1205" s="18" t="s">
        <v>10</v>
      </c>
      <c r="F1205" s="25">
        <v>2017</v>
      </c>
      <c r="G1205" s="26">
        <v>1.0015728076222301</v>
      </c>
    </row>
    <row r="1206" spans="1:7" x14ac:dyDescent="0.35">
      <c r="A1206" s="150">
        <f xml:space="preserve"> ROW( scalarDataframe[[#This Row],[row_id]] ) - ROW( scalarDataframe[[#Headers],[row_id]] )</f>
        <v>1205</v>
      </c>
      <c r="B1206" s="151" t="str">
        <f xml:space="preserve"> INDEX( co_scalarInfo[scalarType], MATCH( scalarDataframe[[#This Row],[scalarName]], co_scalarInfo[scalarName], 0 ) )</f>
        <v>physAdj</v>
      </c>
      <c r="C1206" s="152" t="str">
        <f xml:space="preserve"> INDEX( co_scalarInfo[scalarLabel], MATCH( scalarDataframe[[#This Row],[scalarName]], co_scalarInfo[scalarName], 0 ) )</f>
        <v>MH Demographic Proportion Adjustment Factor</v>
      </c>
      <c r="D1206" s="24" t="s">
        <v>1316</v>
      </c>
      <c r="E1206" s="18" t="s">
        <v>10</v>
      </c>
      <c r="F1206" s="25">
        <v>2025</v>
      </c>
      <c r="G1206" s="26">
        <v>1.0085809737161899</v>
      </c>
    </row>
    <row r="1207" spans="1:7" x14ac:dyDescent="0.35">
      <c r="A1207" s="150">
        <f xml:space="preserve"> ROW( scalarDataframe[[#This Row],[row_id]] ) - ROW( scalarDataframe[[#Headers],[row_id]] )</f>
        <v>1206</v>
      </c>
      <c r="B1207" s="151" t="str">
        <f xml:space="preserve"> INDEX( co_scalarInfo[scalarType], MATCH( scalarDataframe[[#This Row],[scalarName]], co_scalarInfo[scalarName], 0 ) )</f>
        <v>physAdj</v>
      </c>
      <c r="C1207" s="152" t="str">
        <f xml:space="preserve"> INDEX( co_scalarInfo[scalarLabel], MATCH( scalarDataframe[[#This Row],[scalarName]], co_scalarInfo[scalarName], 0 ) )</f>
        <v>MH Demographic Proportion Adjustment Factor</v>
      </c>
      <c r="D1207" s="24" t="s">
        <v>1316</v>
      </c>
      <c r="E1207" s="18" t="s">
        <v>10</v>
      </c>
      <c r="F1207" s="25">
        <v>2029</v>
      </c>
      <c r="G1207" s="26">
        <v>1.01218398583216</v>
      </c>
    </row>
    <row r="1208" spans="1:7" x14ac:dyDescent="0.35">
      <c r="A1208" s="150">
        <f xml:space="preserve"> ROW( scalarDataframe[[#This Row],[row_id]] ) - ROW( scalarDataframe[[#Headers],[row_id]] )</f>
        <v>1207</v>
      </c>
      <c r="B1208" s="151" t="str">
        <f xml:space="preserve"> INDEX( co_scalarInfo[scalarType], MATCH( scalarDataframe[[#This Row],[scalarName]], co_scalarInfo[scalarName], 0 ) )</f>
        <v>physAdj</v>
      </c>
      <c r="C1208" s="152" t="str">
        <f xml:space="preserve"> INDEX( co_scalarInfo[scalarLabel], MATCH( scalarDataframe[[#This Row],[scalarName]], co_scalarInfo[scalarName], 0 ) )</f>
        <v>MH Demographic Proportion Adjustment Factor</v>
      </c>
      <c r="D1208" s="24" t="s">
        <v>1316</v>
      </c>
      <c r="E1208" s="18" t="s">
        <v>10</v>
      </c>
      <c r="F1208" s="25">
        <v>2032</v>
      </c>
      <c r="G1208" s="26">
        <v>1.0155089547789899</v>
      </c>
    </row>
    <row r="1209" spans="1:7" x14ac:dyDescent="0.35">
      <c r="A1209" s="150">
        <f xml:space="preserve"> ROW( scalarDataframe[[#This Row],[row_id]] ) - ROW( scalarDataframe[[#Headers],[row_id]] )</f>
        <v>1208</v>
      </c>
      <c r="B1209" s="151" t="str">
        <f xml:space="preserve"> INDEX( co_scalarInfo[scalarType], MATCH( scalarDataframe[[#This Row],[scalarName]], co_scalarInfo[scalarName], 0 ) )</f>
        <v>physAdj</v>
      </c>
      <c r="C1209" s="152" t="str">
        <f xml:space="preserve"> INDEX( co_scalarInfo[scalarLabel], MATCH( scalarDataframe[[#This Row],[scalarName]], co_scalarInfo[scalarName], 0 ) )</f>
        <v>MH Demographic Proportion Adjustment Factor</v>
      </c>
      <c r="D1209" s="24" t="s">
        <v>1316</v>
      </c>
      <c r="E1209" s="18" t="s">
        <v>10</v>
      </c>
      <c r="F1209" s="25">
        <v>2033</v>
      </c>
      <c r="G1209" s="26">
        <v>1.01670740152664</v>
      </c>
    </row>
    <row r="1210" spans="1:7" x14ac:dyDescent="0.35">
      <c r="A1210" s="150">
        <f xml:space="preserve"> ROW( scalarDataframe[[#This Row],[row_id]] ) - ROW( scalarDataframe[[#Headers],[row_id]] )</f>
        <v>1209</v>
      </c>
      <c r="B1210" s="151" t="str">
        <f xml:space="preserve"> INDEX( co_scalarInfo[scalarType], MATCH( scalarDataframe[[#This Row],[scalarName]], co_scalarInfo[scalarName], 0 ) )</f>
        <v>physAdj</v>
      </c>
      <c r="C1210" s="152" t="str">
        <f xml:space="preserve"> INDEX( co_scalarInfo[scalarLabel], MATCH( scalarDataframe[[#This Row],[scalarName]], co_scalarInfo[scalarName], 0 ) )</f>
        <v>MH Demographic Proportion Adjustment Factor</v>
      </c>
      <c r="D1210" s="24" t="s">
        <v>1316</v>
      </c>
      <c r="E1210" s="18" t="s">
        <v>10</v>
      </c>
      <c r="F1210" s="25">
        <v>2037</v>
      </c>
      <c r="G1210" s="26">
        <v>1.0213831535865501</v>
      </c>
    </row>
    <row r="1211" spans="1:7" x14ac:dyDescent="0.35">
      <c r="A1211" s="150">
        <f xml:space="preserve"> ROW( scalarDataframe[[#This Row],[row_id]] ) - ROW( scalarDataframe[[#Headers],[row_id]] )</f>
        <v>1210</v>
      </c>
      <c r="B1211" s="151" t="str">
        <f xml:space="preserve"> INDEX( co_scalarInfo[scalarType], MATCH( scalarDataframe[[#This Row],[scalarName]], co_scalarInfo[scalarName], 0 ) )</f>
        <v>physAdj</v>
      </c>
      <c r="C1211" s="152" t="str">
        <f xml:space="preserve"> INDEX( co_scalarInfo[scalarLabel], MATCH( scalarDataframe[[#This Row],[scalarName]], co_scalarInfo[scalarName], 0 ) )</f>
        <v>MH Demographic Proportion Adjustment Factor</v>
      </c>
      <c r="D1211" s="24" t="s">
        <v>1316</v>
      </c>
      <c r="E1211" s="18" t="s">
        <v>10</v>
      </c>
      <c r="F1211" s="25">
        <v>2044</v>
      </c>
      <c r="G1211" s="26">
        <v>1.02749901943804</v>
      </c>
    </row>
    <row r="1212" spans="1:7" x14ac:dyDescent="0.35">
      <c r="A1212" s="150">
        <f xml:space="preserve"> ROW( scalarDataframe[[#This Row],[row_id]] ) - ROW( scalarDataframe[[#Headers],[row_id]] )</f>
        <v>1211</v>
      </c>
      <c r="B1212" s="151" t="str">
        <f xml:space="preserve"> INDEX( co_scalarInfo[scalarType], MATCH( scalarDataframe[[#This Row],[scalarName]], co_scalarInfo[scalarName], 0 ) )</f>
        <v>physAdj</v>
      </c>
      <c r="C1212" s="152" t="str">
        <f xml:space="preserve"> INDEX( co_scalarInfo[scalarLabel], MATCH( scalarDataframe[[#This Row],[scalarName]], co_scalarInfo[scalarName], 0 ) )</f>
        <v>MH Demographic Proportion Adjustment Factor</v>
      </c>
      <c r="D1212" s="24" t="s">
        <v>1316</v>
      </c>
      <c r="E1212" s="18" t="s">
        <v>10</v>
      </c>
      <c r="F1212" s="25">
        <v>2048</v>
      </c>
      <c r="G1212" s="26">
        <v>1.03030262112074</v>
      </c>
    </row>
    <row r="1213" spans="1:7" x14ac:dyDescent="0.35">
      <c r="A1213" s="150">
        <f xml:space="preserve"> ROW( scalarDataframe[[#This Row],[row_id]] ) - ROW( scalarDataframe[[#Headers],[row_id]] )</f>
        <v>1212</v>
      </c>
      <c r="B1213" s="151" t="str">
        <f xml:space="preserve"> INDEX( co_scalarInfo[scalarType], MATCH( scalarDataframe[[#This Row],[scalarName]], co_scalarInfo[scalarName], 0 ) )</f>
        <v>physAdj</v>
      </c>
      <c r="C1213" s="152" t="str">
        <f xml:space="preserve"> INDEX( co_scalarInfo[scalarLabel], MATCH( scalarDataframe[[#This Row],[scalarName]], co_scalarInfo[scalarName], 0 ) )</f>
        <v>MH Demographic Proportion Adjustment Factor</v>
      </c>
      <c r="D1213" s="24" t="s">
        <v>1316</v>
      </c>
      <c r="E1213" s="18" t="s">
        <v>10</v>
      </c>
      <c r="F1213" s="25">
        <v>2049</v>
      </c>
      <c r="G1213" s="26">
        <v>1.0309305511740201</v>
      </c>
    </row>
    <row r="1214" spans="1:7" x14ac:dyDescent="0.35">
      <c r="A1214" s="150">
        <f xml:space="preserve"> ROW( scalarDataframe[[#This Row],[row_id]] ) - ROW( scalarDataframe[[#Headers],[row_id]] )</f>
        <v>1213</v>
      </c>
      <c r="B1214" s="151" t="str">
        <f xml:space="preserve"> INDEX( co_scalarInfo[scalarType], MATCH( scalarDataframe[[#This Row],[scalarName]], co_scalarInfo[scalarName], 0 ) )</f>
        <v>physAdj</v>
      </c>
      <c r="C1214" s="152" t="str">
        <f xml:space="preserve"> INDEX( co_scalarInfo[scalarLabel], MATCH( scalarDataframe[[#This Row],[scalarName]], co_scalarInfo[scalarName], 0 ) )</f>
        <v>MH Demographic Proportion Adjustment Factor</v>
      </c>
      <c r="D1214" s="24" t="s">
        <v>1316</v>
      </c>
      <c r="E1214" s="18" t="s">
        <v>10</v>
      </c>
      <c r="F1214" s="25">
        <v>2050</v>
      </c>
      <c r="G1214" s="26">
        <v>1.03157050559578</v>
      </c>
    </row>
    <row r="1215" spans="1:7" x14ac:dyDescent="0.35">
      <c r="A1215" s="150">
        <f xml:space="preserve"> ROW( scalarDataframe[[#This Row],[row_id]] ) - ROW( scalarDataframe[[#Headers],[row_id]] )</f>
        <v>1214</v>
      </c>
      <c r="B1215" s="151" t="str">
        <f xml:space="preserve"> INDEX( co_scalarInfo[scalarType], MATCH( scalarDataframe[[#This Row],[scalarName]], co_scalarInfo[scalarName], 0 ) )</f>
        <v>physAdj</v>
      </c>
      <c r="C1215" s="152" t="str">
        <f xml:space="preserve"> INDEX( co_scalarInfo[scalarLabel], MATCH( scalarDataframe[[#This Row],[scalarName]], co_scalarInfo[scalarName], 0 ) )</f>
        <v>MH Demographic Proportion Adjustment Factor</v>
      </c>
      <c r="D1215" s="24" t="s">
        <v>1316</v>
      </c>
      <c r="E1215" s="18" t="s">
        <v>10</v>
      </c>
      <c r="F1215" s="25">
        <v>2052</v>
      </c>
      <c r="G1215" s="26">
        <v>1.0325778386592299</v>
      </c>
    </row>
    <row r="1216" spans="1:7" x14ac:dyDescent="0.35">
      <c r="A1216" s="150">
        <f xml:space="preserve"> ROW( scalarDataframe[[#This Row],[row_id]] ) - ROW( scalarDataframe[[#Headers],[row_id]] )</f>
        <v>1215</v>
      </c>
      <c r="B1216" s="151" t="str">
        <f xml:space="preserve"> INDEX( co_scalarInfo[scalarType], MATCH( scalarDataframe[[#This Row],[scalarName]], co_scalarInfo[scalarName], 0 ) )</f>
        <v>physAdj</v>
      </c>
      <c r="C1216" s="152" t="str">
        <f xml:space="preserve"> INDEX( co_scalarInfo[scalarLabel], MATCH( scalarDataframe[[#This Row],[scalarName]], co_scalarInfo[scalarName], 0 ) )</f>
        <v>MH Demographic Proportion Adjustment Factor</v>
      </c>
      <c r="D1216" s="24" t="s">
        <v>1316</v>
      </c>
      <c r="E1216" s="18" t="s">
        <v>10</v>
      </c>
      <c r="F1216" s="25">
        <v>2055</v>
      </c>
      <c r="G1216" s="26">
        <v>1.0337794306372201</v>
      </c>
    </row>
    <row r="1217" spans="1:7" x14ac:dyDescent="0.35">
      <c r="A1217" s="150">
        <f xml:space="preserve"> ROW( scalarDataframe[[#This Row],[row_id]] ) - ROW( scalarDataframe[[#Headers],[row_id]] )</f>
        <v>1216</v>
      </c>
      <c r="B1217" s="151" t="str">
        <f xml:space="preserve"> INDEX( co_scalarInfo[scalarType], MATCH( scalarDataframe[[#This Row],[scalarName]], co_scalarInfo[scalarName], 0 ) )</f>
        <v>physAdj</v>
      </c>
      <c r="C1217" s="152" t="str">
        <f xml:space="preserve"> INDEX( co_scalarInfo[scalarLabel], MATCH( scalarDataframe[[#This Row],[scalarName]], co_scalarInfo[scalarName], 0 ) )</f>
        <v>MH Demographic Proportion Adjustment Factor</v>
      </c>
      <c r="D1217" s="24" t="s">
        <v>1316</v>
      </c>
      <c r="E1217" s="18" t="s">
        <v>10</v>
      </c>
      <c r="F1217" s="25">
        <v>2059</v>
      </c>
      <c r="G1217" s="26">
        <v>1.03567670092655</v>
      </c>
    </row>
    <row r="1218" spans="1:7" x14ac:dyDescent="0.35">
      <c r="A1218" s="150">
        <f xml:space="preserve"> ROW( scalarDataframe[[#This Row],[row_id]] ) - ROW( scalarDataframe[[#Headers],[row_id]] )</f>
        <v>1217</v>
      </c>
      <c r="B1218" s="151" t="str">
        <f xml:space="preserve"> INDEX( co_scalarInfo[scalarType], MATCH( scalarDataframe[[#This Row],[scalarName]], co_scalarInfo[scalarName], 0 ) )</f>
        <v>physAdj</v>
      </c>
      <c r="C1218" s="152" t="str">
        <f xml:space="preserve"> INDEX( co_scalarInfo[scalarLabel], MATCH( scalarDataframe[[#This Row],[scalarName]], co_scalarInfo[scalarName], 0 ) )</f>
        <v>MH Demographic Proportion Adjustment Factor</v>
      </c>
      <c r="D1218" s="24" t="s">
        <v>1316</v>
      </c>
      <c r="E1218" s="18" t="s">
        <v>10</v>
      </c>
      <c r="F1218" s="25">
        <v>2061</v>
      </c>
      <c r="G1218" s="26">
        <v>1.03676479073854</v>
      </c>
    </row>
    <row r="1219" spans="1:7" x14ac:dyDescent="0.35">
      <c r="A1219" s="150">
        <f xml:space="preserve"> ROW( scalarDataframe[[#This Row],[row_id]] ) - ROW( scalarDataframe[[#Headers],[row_id]] )</f>
        <v>1218</v>
      </c>
      <c r="B1219" s="151" t="str">
        <f xml:space="preserve"> INDEX( co_scalarInfo[scalarType], MATCH( scalarDataframe[[#This Row],[scalarName]], co_scalarInfo[scalarName], 0 ) )</f>
        <v>physAdj</v>
      </c>
      <c r="C1219" s="152" t="str">
        <f xml:space="preserve"> INDEX( co_scalarInfo[scalarLabel], MATCH( scalarDataframe[[#This Row],[scalarName]], co_scalarInfo[scalarName], 0 ) )</f>
        <v>MH Demographic Proportion Adjustment Factor</v>
      </c>
      <c r="D1219" s="24" t="s">
        <v>1316</v>
      </c>
      <c r="E1219" s="18" t="s">
        <v>10</v>
      </c>
      <c r="F1219" s="25">
        <v>2062</v>
      </c>
      <c r="G1219" s="26">
        <v>1.0373628457836199</v>
      </c>
    </row>
    <row r="1220" spans="1:7" x14ac:dyDescent="0.35">
      <c r="A1220" s="150">
        <f xml:space="preserve"> ROW( scalarDataframe[[#This Row],[row_id]] ) - ROW( scalarDataframe[[#Headers],[row_id]] )</f>
        <v>1219</v>
      </c>
      <c r="B1220" s="151" t="str">
        <f xml:space="preserve"> INDEX( co_scalarInfo[scalarType], MATCH( scalarDataframe[[#This Row],[scalarName]], co_scalarInfo[scalarName], 0 ) )</f>
        <v>physAdj</v>
      </c>
      <c r="C1220" s="152" t="str">
        <f xml:space="preserve"> INDEX( co_scalarInfo[scalarLabel], MATCH( scalarDataframe[[#This Row],[scalarName]], co_scalarInfo[scalarName], 0 ) )</f>
        <v>MH Demographic Proportion Adjustment Factor</v>
      </c>
      <c r="D1220" s="24" t="s">
        <v>1316</v>
      </c>
      <c r="E1220" s="18" t="s">
        <v>10</v>
      </c>
      <c r="F1220" s="25">
        <v>2064</v>
      </c>
      <c r="G1220" s="26">
        <v>1.0384565275648201</v>
      </c>
    </row>
    <row r="1221" spans="1:7" x14ac:dyDescent="0.35">
      <c r="A1221" s="150">
        <f xml:space="preserve"> ROW( scalarDataframe[[#This Row],[row_id]] ) - ROW( scalarDataframe[[#Headers],[row_id]] )</f>
        <v>1220</v>
      </c>
      <c r="B1221" s="151" t="str">
        <f xml:space="preserve"> INDEX( co_scalarInfo[scalarType], MATCH( scalarDataframe[[#This Row],[scalarName]], co_scalarInfo[scalarName], 0 ) )</f>
        <v>physAdj</v>
      </c>
      <c r="C1221" s="152" t="str">
        <f xml:space="preserve"> INDEX( co_scalarInfo[scalarLabel], MATCH( scalarDataframe[[#This Row],[scalarName]], co_scalarInfo[scalarName], 0 ) )</f>
        <v>MH Demographic Proportion Adjustment Factor</v>
      </c>
      <c r="D1221" s="24" t="s">
        <v>1316</v>
      </c>
      <c r="E1221" s="18" t="s">
        <v>10</v>
      </c>
      <c r="F1221" s="25">
        <v>2067</v>
      </c>
      <c r="G1221" s="26">
        <v>1.0403460498691699</v>
      </c>
    </row>
    <row r="1222" spans="1:7" x14ac:dyDescent="0.35">
      <c r="A1222" s="150">
        <f xml:space="preserve"> ROW( scalarDataframe[[#This Row],[row_id]] ) - ROW( scalarDataframe[[#Headers],[row_id]] )</f>
        <v>1221</v>
      </c>
      <c r="B1222" s="151" t="str">
        <f xml:space="preserve"> INDEX( co_scalarInfo[scalarType], MATCH( scalarDataframe[[#This Row],[scalarName]], co_scalarInfo[scalarName], 0 ) )</f>
        <v>physAdj</v>
      </c>
      <c r="C1222" s="152" t="str">
        <f xml:space="preserve"> INDEX( co_scalarInfo[scalarLabel], MATCH( scalarDataframe[[#This Row],[scalarName]], co_scalarInfo[scalarName], 0 ) )</f>
        <v>MH Demographic Proportion Adjustment Factor</v>
      </c>
      <c r="D1222" s="24" t="s">
        <v>1316</v>
      </c>
      <c r="E1222" s="18" t="s">
        <v>10</v>
      </c>
      <c r="F1222" s="25">
        <v>2071</v>
      </c>
      <c r="G1222" s="26">
        <v>1.04265113500066</v>
      </c>
    </row>
    <row r="1223" spans="1:7" x14ac:dyDescent="0.35">
      <c r="A1223" s="150">
        <f xml:space="preserve"> ROW( scalarDataframe[[#This Row],[row_id]] ) - ROW( scalarDataframe[[#Headers],[row_id]] )</f>
        <v>1222</v>
      </c>
      <c r="B1223" s="151" t="str">
        <f xml:space="preserve"> INDEX( co_scalarInfo[scalarType], MATCH( scalarDataframe[[#This Row],[scalarName]], co_scalarInfo[scalarName], 0 ) )</f>
        <v>physAdj</v>
      </c>
      <c r="C1223" s="152" t="str">
        <f xml:space="preserve"> INDEX( co_scalarInfo[scalarLabel], MATCH( scalarDataframe[[#This Row],[scalarName]], co_scalarInfo[scalarName], 0 ) )</f>
        <v>MH Demographic Proportion Adjustment Factor</v>
      </c>
      <c r="D1223" s="24" t="s">
        <v>1316</v>
      </c>
      <c r="E1223" s="18" t="s">
        <v>10</v>
      </c>
      <c r="F1223" s="25">
        <v>2076</v>
      </c>
      <c r="G1223" s="26">
        <v>1.04477079431469</v>
      </c>
    </row>
    <row r="1224" spans="1:7" x14ac:dyDescent="0.35">
      <c r="A1224" s="150">
        <f xml:space="preserve"> ROW( scalarDataframe[[#This Row],[row_id]] ) - ROW( scalarDataframe[[#Headers],[row_id]] )</f>
        <v>1223</v>
      </c>
      <c r="B1224" s="151" t="str">
        <f xml:space="preserve"> INDEX( co_scalarInfo[scalarType], MATCH( scalarDataframe[[#This Row],[scalarName]], co_scalarInfo[scalarName], 0 ) )</f>
        <v>physAdj</v>
      </c>
      <c r="C1224" s="152" t="str">
        <f xml:space="preserve"> INDEX( co_scalarInfo[scalarLabel], MATCH( scalarDataframe[[#This Row],[scalarName]], co_scalarInfo[scalarName], 0 ) )</f>
        <v>MH Demographic Proportion Adjustment Factor</v>
      </c>
      <c r="D1224" s="24" t="s">
        <v>1316</v>
      </c>
      <c r="E1224" s="18" t="s">
        <v>10</v>
      </c>
      <c r="F1224" s="25">
        <v>2077</v>
      </c>
      <c r="G1224" s="26">
        <v>1.04517032159898</v>
      </c>
    </row>
    <row r="1225" spans="1:7" x14ac:dyDescent="0.35">
      <c r="A1225" s="150">
        <f xml:space="preserve"> ROW( scalarDataframe[[#This Row],[row_id]] ) - ROW( scalarDataframe[[#Headers],[row_id]] )</f>
        <v>1224</v>
      </c>
      <c r="B1225" s="151" t="str">
        <f xml:space="preserve"> INDEX( co_scalarInfo[scalarType], MATCH( scalarDataframe[[#This Row],[scalarName]], co_scalarInfo[scalarName], 0 ) )</f>
        <v>physAdj</v>
      </c>
      <c r="C1225" s="152" t="str">
        <f xml:space="preserve"> INDEX( co_scalarInfo[scalarLabel], MATCH( scalarDataframe[[#This Row],[scalarName]], co_scalarInfo[scalarName], 0 ) )</f>
        <v>MH Demographic Proportion Adjustment Factor</v>
      </c>
      <c r="D1225" s="24" t="s">
        <v>1316</v>
      </c>
      <c r="E1225" s="18" t="s">
        <v>10</v>
      </c>
      <c r="F1225" s="25">
        <v>2081</v>
      </c>
      <c r="G1225" s="26">
        <v>1.04701360828684</v>
      </c>
    </row>
    <row r="1226" spans="1:7" x14ac:dyDescent="0.35">
      <c r="A1226" s="150">
        <f xml:space="preserve"> ROW( scalarDataframe[[#This Row],[row_id]] ) - ROW( scalarDataframe[[#Headers],[row_id]] )</f>
        <v>1225</v>
      </c>
      <c r="B1226" s="151" t="str">
        <f xml:space="preserve"> INDEX( co_scalarInfo[scalarType], MATCH( scalarDataframe[[#This Row],[scalarName]], co_scalarInfo[scalarName], 0 ) )</f>
        <v>physAdj</v>
      </c>
      <c r="C1226" s="152" t="str">
        <f xml:space="preserve"> INDEX( co_scalarInfo[scalarLabel], MATCH( scalarDataframe[[#This Row],[scalarName]], co_scalarInfo[scalarName], 0 ) )</f>
        <v>MH Demographic Proportion Adjustment Factor</v>
      </c>
      <c r="D1226" s="24" t="s">
        <v>1316</v>
      </c>
      <c r="E1226" s="18" t="s">
        <v>10</v>
      </c>
      <c r="F1226" s="25">
        <v>2082</v>
      </c>
      <c r="G1226" s="26">
        <v>1.0478782752232201</v>
      </c>
    </row>
    <row r="1227" spans="1:7" x14ac:dyDescent="0.35">
      <c r="A1227" s="150">
        <f xml:space="preserve"> ROW( scalarDataframe[[#This Row],[row_id]] ) - ROW( scalarDataframe[[#Headers],[row_id]] )</f>
        <v>1226</v>
      </c>
      <c r="B1227" s="151" t="str">
        <f xml:space="preserve"> INDEX( co_scalarInfo[scalarType], MATCH( scalarDataframe[[#This Row],[scalarName]], co_scalarInfo[scalarName], 0 ) )</f>
        <v>physAdj</v>
      </c>
      <c r="C1227" s="152" t="str">
        <f xml:space="preserve"> INDEX( co_scalarInfo[scalarLabel], MATCH( scalarDataframe[[#This Row],[scalarName]], co_scalarInfo[scalarName], 0 ) )</f>
        <v>MH Demographic Proportion Adjustment Factor</v>
      </c>
      <c r="D1227" s="24" t="s">
        <v>1316</v>
      </c>
      <c r="E1227" s="18" t="s">
        <v>10</v>
      </c>
      <c r="F1227" s="25">
        <v>2087</v>
      </c>
      <c r="G1227" s="26">
        <v>1.05108637273163</v>
      </c>
    </row>
    <row r="1228" spans="1:7" x14ac:dyDescent="0.35">
      <c r="A1228" s="150">
        <f xml:space="preserve"> ROW( scalarDataframe[[#This Row],[row_id]] ) - ROW( scalarDataframe[[#Headers],[row_id]] )</f>
        <v>1227</v>
      </c>
      <c r="B1228" s="151" t="str">
        <f xml:space="preserve"> INDEX( co_scalarInfo[scalarType], MATCH( scalarDataframe[[#This Row],[scalarName]], co_scalarInfo[scalarName], 0 ) )</f>
        <v>physAdj</v>
      </c>
      <c r="C1228" s="152" t="str">
        <f xml:space="preserve"> INDEX( co_scalarInfo[scalarLabel], MATCH( scalarDataframe[[#This Row],[scalarName]], co_scalarInfo[scalarName], 0 ) )</f>
        <v>MH Demographic Proportion Adjustment Factor</v>
      </c>
      <c r="D1228" s="24" t="s">
        <v>1316</v>
      </c>
      <c r="E1228" s="18" t="s">
        <v>10</v>
      </c>
      <c r="F1228" s="25">
        <v>2091</v>
      </c>
      <c r="G1228" s="26">
        <v>1.0539960298960001</v>
      </c>
    </row>
    <row r="1229" spans="1:7" x14ac:dyDescent="0.35">
      <c r="A1229" s="150">
        <f xml:space="preserve"> ROW( scalarDataframe[[#This Row],[row_id]] ) - ROW( scalarDataframe[[#Headers],[row_id]] )</f>
        <v>1228</v>
      </c>
      <c r="B1229" s="151" t="str">
        <f xml:space="preserve"> INDEX( co_scalarInfo[scalarType], MATCH( scalarDataframe[[#This Row],[scalarName]], co_scalarInfo[scalarName], 0 ) )</f>
        <v>physAdj</v>
      </c>
      <c r="C1229" s="152" t="str">
        <f xml:space="preserve"> INDEX( co_scalarInfo[scalarLabel], MATCH( scalarDataframe[[#This Row],[scalarName]], co_scalarInfo[scalarName], 0 ) )</f>
        <v>MH Demographic Proportion Adjustment Factor</v>
      </c>
      <c r="D1229" s="24" t="s">
        <v>1316</v>
      </c>
      <c r="E1229" s="18" t="s">
        <v>11</v>
      </c>
      <c r="F1229" s="25">
        <v>2011</v>
      </c>
      <c r="G1229" s="26">
        <v>0.99576429610908701</v>
      </c>
    </row>
    <row r="1230" spans="1:7" x14ac:dyDescent="0.35">
      <c r="A1230" s="150">
        <f xml:space="preserve"> ROW( scalarDataframe[[#This Row],[row_id]] ) - ROW( scalarDataframe[[#Headers],[row_id]] )</f>
        <v>1229</v>
      </c>
      <c r="B1230" s="151" t="str">
        <f xml:space="preserve"> INDEX( co_scalarInfo[scalarType], MATCH( scalarDataframe[[#This Row],[scalarName]], co_scalarInfo[scalarName], 0 ) )</f>
        <v>physAdj</v>
      </c>
      <c r="C1230" s="152" t="str">
        <f xml:space="preserve"> INDEX( co_scalarInfo[scalarLabel], MATCH( scalarDataframe[[#This Row],[scalarName]], co_scalarInfo[scalarName], 0 ) )</f>
        <v>MH Demographic Proportion Adjustment Factor</v>
      </c>
      <c r="D1230" s="24" t="s">
        <v>1316</v>
      </c>
      <c r="E1230" s="18" t="s">
        <v>11</v>
      </c>
      <c r="F1230" s="25">
        <v>2013</v>
      </c>
      <c r="G1230" s="26">
        <v>0.99793972560380795</v>
      </c>
    </row>
    <row r="1231" spans="1:7" x14ac:dyDescent="0.35">
      <c r="A1231" s="150">
        <f xml:space="preserve"> ROW( scalarDataframe[[#This Row],[row_id]] ) - ROW( scalarDataframe[[#Headers],[row_id]] )</f>
        <v>1230</v>
      </c>
      <c r="B1231" s="151" t="str">
        <f xml:space="preserve"> INDEX( co_scalarInfo[scalarType], MATCH( scalarDataframe[[#This Row],[scalarName]], co_scalarInfo[scalarName], 0 ) )</f>
        <v>physAdj</v>
      </c>
      <c r="C1231" s="152" t="str">
        <f xml:space="preserve"> INDEX( co_scalarInfo[scalarLabel], MATCH( scalarDataframe[[#This Row],[scalarName]], co_scalarInfo[scalarName], 0 ) )</f>
        <v>MH Demographic Proportion Adjustment Factor</v>
      </c>
      <c r="D1231" s="24" t="s">
        <v>1316</v>
      </c>
      <c r="E1231" s="18" t="s">
        <v>11</v>
      </c>
      <c r="F1231" s="25">
        <v>2017</v>
      </c>
      <c r="G1231" s="26">
        <v>1.0017593109285701</v>
      </c>
    </row>
    <row r="1232" spans="1:7" x14ac:dyDescent="0.35">
      <c r="A1232" s="150">
        <f xml:space="preserve"> ROW( scalarDataframe[[#This Row],[row_id]] ) - ROW( scalarDataframe[[#Headers],[row_id]] )</f>
        <v>1231</v>
      </c>
      <c r="B1232" s="151" t="str">
        <f xml:space="preserve"> INDEX( co_scalarInfo[scalarType], MATCH( scalarDataframe[[#This Row],[scalarName]], co_scalarInfo[scalarName], 0 ) )</f>
        <v>physAdj</v>
      </c>
      <c r="C1232" s="152" t="str">
        <f xml:space="preserve"> INDEX( co_scalarInfo[scalarLabel], MATCH( scalarDataframe[[#This Row],[scalarName]], co_scalarInfo[scalarName], 0 ) )</f>
        <v>MH Demographic Proportion Adjustment Factor</v>
      </c>
      <c r="D1232" s="24" t="s">
        <v>1316</v>
      </c>
      <c r="E1232" s="18" t="s">
        <v>11</v>
      </c>
      <c r="F1232" s="25">
        <v>2025</v>
      </c>
      <c r="G1232" s="26">
        <v>1.0113203944098501</v>
      </c>
    </row>
    <row r="1233" spans="1:7" x14ac:dyDescent="0.35">
      <c r="A1233" s="150">
        <f xml:space="preserve"> ROW( scalarDataframe[[#This Row],[row_id]] ) - ROW( scalarDataframe[[#Headers],[row_id]] )</f>
        <v>1232</v>
      </c>
      <c r="B1233" s="151" t="str">
        <f xml:space="preserve"> INDEX( co_scalarInfo[scalarType], MATCH( scalarDataframe[[#This Row],[scalarName]], co_scalarInfo[scalarName], 0 ) )</f>
        <v>physAdj</v>
      </c>
      <c r="C1233" s="152" t="str">
        <f xml:space="preserve"> INDEX( co_scalarInfo[scalarLabel], MATCH( scalarDataframe[[#This Row],[scalarName]], co_scalarInfo[scalarName], 0 ) )</f>
        <v>MH Demographic Proportion Adjustment Factor</v>
      </c>
      <c r="D1233" s="24" t="s">
        <v>1316</v>
      </c>
      <c r="E1233" s="18" t="s">
        <v>11</v>
      </c>
      <c r="F1233" s="25">
        <v>2029</v>
      </c>
      <c r="G1233" s="26">
        <v>1.01638101267742</v>
      </c>
    </row>
    <row r="1234" spans="1:7" x14ac:dyDescent="0.35">
      <c r="A1234" s="150">
        <f xml:space="preserve"> ROW( scalarDataframe[[#This Row],[row_id]] ) - ROW( scalarDataframe[[#Headers],[row_id]] )</f>
        <v>1233</v>
      </c>
      <c r="B1234" s="151" t="str">
        <f xml:space="preserve"> INDEX( co_scalarInfo[scalarType], MATCH( scalarDataframe[[#This Row],[scalarName]], co_scalarInfo[scalarName], 0 ) )</f>
        <v>physAdj</v>
      </c>
      <c r="C1234" s="152" t="str">
        <f xml:space="preserve"> INDEX( co_scalarInfo[scalarLabel], MATCH( scalarDataframe[[#This Row],[scalarName]], co_scalarInfo[scalarName], 0 ) )</f>
        <v>MH Demographic Proportion Adjustment Factor</v>
      </c>
      <c r="D1234" s="24" t="s">
        <v>1316</v>
      </c>
      <c r="E1234" s="18" t="s">
        <v>11</v>
      </c>
      <c r="F1234" s="25">
        <v>2032</v>
      </c>
      <c r="G1234" s="26">
        <v>1.0199277662083901</v>
      </c>
    </row>
    <row r="1235" spans="1:7" x14ac:dyDescent="0.35">
      <c r="A1235" s="150">
        <f xml:space="preserve"> ROW( scalarDataframe[[#This Row],[row_id]] ) - ROW( scalarDataframe[[#Headers],[row_id]] )</f>
        <v>1234</v>
      </c>
      <c r="B1235" s="151" t="str">
        <f xml:space="preserve"> INDEX( co_scalarInfo[scalarType], MATCH( scalarDataframe[[#This Row],[scalarName]], co_scalarInfo[scalarName], 0 ) )</f>
        <v>physAdj</v>
      </c>
      <c r="C1235" s="152" t="str">
        <f xml:space="preserve"> INDEX( co_scalarInfo[scalarLabel], MATCH( scalarDataframe[[#This Row],[scalarName]], co_scalarInfo[scalarName], 0 ) )</f>
        <v>MH Demographic Proportion Adjustment Factor</v>
      </c>
      <c r="D1235" s="24" t="s">
        <v>1316</v>
      </c>
      <c r="E1235" s="18" t="s">
        <v>11</v>
      </c>
      <c r="F1235" s="25">
        <v>2033</v>
      </c>
      <c r="G1235" s="26">
        <v>1.02100930186938</v>
      </c>
    </row>
    <row r="1236" spans="1:7" x14ac:dyDescent="0.35">
      <c r="A1236" s="150">
        <f xml:space="preserve"> ROW( scalarDataframe[[#This Row],[row_id]] ) - ROW( scalarDataframe[[#Headers],[row_id]] )</f>
        <v>1235</v>
      </c>
      <c r="B1236" s="151" t="str">
        <f xml:space="preserve"> INDEX( co_scalarInfo[scalarType], MATCH( scalarDataframe[[#This Row],[scalarName]], co_scalarInfo[scalarName], 0 ) )</f>
        <v>physAdj</v>
      </c>
      <c r="C1236" s="152" t="str">
        <f xml:space="preserve"> INDEX( co_scalarInfo[scalarLabel], MATCH( scalarDataframe[[#This Row],[scalarName]], co_scalarInfo[scalarName], 0 ) )</f>
        <v>MH Demographic Proportion Adjustment Factor</v>
      </c>
      <c r="D1236" s="24" t="s">
        <v>1316</v>
      </c>
      <c r="E1236" s="18" t="s">
        <v>11</v>
      </c>
      <c r="F1236" s="25">
        <v>2037</v>
      </c>
      <c r="G1236" s="26">
        <v>1.0253427524296701</v>
      </c>
    </row>
    <row r="1237" spans="1:7" x14ac:dyDescent="0.35">
      <c r="A1237" s="150">
        <f xml:space="preserve"> ROW( scalarDataframe[[#This Row],[row_id]] ) - ROW( scalarDataframe[[#Headers],[row_id]] )</f>
        <v>1236</v>
      </c>
      <c r="B1237" s="151" t="str">
        <f xml:space="preserve"> INDEX( co_scalarInfo[scalarType], MATCH( scalarDataframe[[#This Row],[scalarName]], co_scalarInfo[scalarName], 0 ) )</f>
        <v>physAdj</v>
      </c>
      <c r="C1237" s="152" t="str">
        <f xml:space="preserve"> INDEX( co_scalarInfo[scalarLabel], MATCH( scalarDataframe[[#This Row],[scalarName]], co_scalarInfo[scalarName], 0 ) )</f>
        <v>MH Demographic Proportion Adjustment Factor</v>
      </c>
      <c r="D1237" s="24" t="s">
        <v>1316</v>
      </c>
      <c r="E1237" s="18" t="s">
        <v>11</v>
      </c>
      <c r="F1237" s="25">
        <v>2044</v>
      </c>
      <c r="G1237" s="26">
        <v>1.0309518804564799</v>
      </c>
    </row>
    <row r="1238" spans="1:7" x14ac:dyDescent="0.35">
      <c r="A1238" s="150">
        <f xml:space="preserve"> ROW( scalarDataframe[[#This Row],[row_id]] ) - ROW( scalarDataframe[[#Headers],[row_id]] )</f>
        <v>1237</v>
      </c>
      <c r="B1238" s="151" t="str">
        <f xml:space="preserve"> INDEX( co_scalarInfo[scalarType], MATCH( scalarDataframe[[#This Row],[scalarName]], co_scalarInfo[scalarName], 0 ) )</f>
        <v>physAdj</v>
      </c>
      <c r="C1238" s="152" t="str">
        <f xml:space="preserve"> INDEX( co_scalarInfo[scalarLabel], MATCH( scalarDataframe[[#This Row],[scalarName]], co_scalarInfo[scalarName], 0 ) )</f>
        <v>MH Demographic Proportion Adjustment Factor</v>
      </c>
      <c r="D1238" s="24" t="s">
        <v>1316</v>
      </c>
      <c r="E1238" s="18" t="s">
        <v>11</v>
      </c>
      <c r="F1238" s="25">
        <v>2048</v>
      </c>
      <c r="G1238" s="26">
        <v>1.03343374460103</v>
      </c>
    </row>
    <row r="1239" spans="1:7" x14ac:dyDescent="0.35">
      <c r="A1239" s="150">
        <f xml:space="preserve"> ROW( scalarDataframe[[#This Row],[row_id]] ) - ROW( scalarDataframe[[#Headers],[row_id]] )</f>
        <v>1238</v>
      </c>
      <c r="B1239" s="151" t="str">
        <f xml:space="preserve"> INDEX( co_scalarInfo[scalarType], MATCH( scalarDataframe[[#This Row],[scalarName]], co_scalarInfo[scalarName], 0 ) )</f>
        <v>physAdj</v>
      </c>
      <c r="C1239" s="152" t="str">
        <f xml:space="preserve"> INDEX( co_scalarInfo[scalarLabel], MATCH( scalarDataframe[[#This Row],[scalarName]], co_scalarInfo[scalarName], 0 ) )</f>
        <v>MH Demographic Proportion Adjustment Factor</v>
      </c>
      <c r="D1239" s="24" t="s">
        <v>1316</v>
      </c>
      <c r="E1239" s="18" t="s">
        <v>11</v>
      </c>
      <c r="F1239" s="25">
        <v>2049</v>
      </c>
      <c r="G1239" s="26">
        <v>1.03406034210395</v>
      </c>
    </row>
    <row r="1240" spans="1:7" x14ac:dyDescent="0.35">
      <c r="A1240" s="150">
        <f xml:space="preserve"> ROW( scalarDataframe[[#This Row],[row_id]] ) - ROW( scalarDataframe[[#Headers],[row_id]] )</f>
        <v>1239</v>
      </c>
      <c r="B1240" s="151" t="str">
        <f xml:space="preserve"> INDEX( co_scalarInfo[scalarType], MATCH( scalarDataframe[[#This Row],[scalarName]], co_scalarInfo[scalarName], 0 ) )</f>
        <v>physAdj</v>
      </c>
      <c r="C1240" s="152" t="str">
        <f xml:space="preserve"> INDEX( co_scalarInfo[scalarLabel], MATCH( scalarDataframe[[#This Row],[scalarName]], co_scalarInfo[scalarName], 0 ) )</f>
        <v>MH Demographic Proportion Adjustment Factor</v>
      </c>
      <c r="D1240" s="24" t="s">
        <v>1316</v>
      </c>
      <c r="E1240" s="18" t="s">
        <v>11</v>
      </c>
      <c r="F1240" s="25">
        <v>2050</v>
      </c>
      <c r="G1240" s="26">
        <v>1.03447907059945</v>
      </c>
    </row>
    <row r="1241" spans="1:7" x14ac:dyDescent="0.35">
      <c r="A1241" s="150">
        <f xml:space="preserve"> ROW( scalarDataframe[[#This Row],[row_id]] ) - ROW( scalarDataframe[[#Headers],[row_id]] )</f>
        <v>1240</v>
      </c>
      <c r="B1241" s="151" t="str">
        <f xml:space="preserve"> INDEX( co_scalarInfo[scalarType], MATCH( scalarDataframe[[#This Row],[scalarName]], co_scalarInfo[scalarName], 0 ) )</f>
        <v>physAdj</v>
      </c>
      <c r="C1241" s="152" t="str">
        <f xml:space="preserve"> INDEX( co_scalarInfo[scalarLabel], MATCH( scalarDataframe[[#This Row],[scalarName]], co_scalarInfo[scalarName], 0 ) )</f>
        <v>MH Demographic Proportion Adjustment Factor</v>
      </c>
      <c r="D1241" s="24" t="s">
        <v>1316</v>
      </c>
      <c r="E1241" s="18" t="s">
        <v>11</v>
      </c>
      <c r="F1241" s="25">
        <v>2052</v>
      </c>
      <c r="G1241" s="26">
        <v>1.0360772910421701</v>
      </c>
    </row>
    <row r="1242" spans="1:7" x14ac:dyDescent="0.35">
      <c r="A1242" s="150">
        <f xml:space="preserve"> ROW( scalarDataframe[[#This Row],[row_id]] ) - ROW( scalarDataframe[[#Headers],[row_id]] )</f>
        <v>1241</v>
      </c>
      <c r="B1242" s="151" t="str">
        <f xml:space="preserve"> INDEX( co_scalarInfo[scalarType], MATCH( scalarDataframe[[#This Row],[scalarName]], co_scalarInfo[scalarName], 0 ) )</f>
        <v>physAdj</v>
      </c>
      <c r="C1242" s="152" t="str">
        <f xml:space="preserve"> INDEX( co_scalarInfo[scalarLabel], MATCH( scalarDataframe[[#This Row],[scalarName]], co_scalarInfo[scalarName], 0 ) )</f>
        <v>MH Demographic Proportion Adjustment Factor</v>
      </c>
      <c r="D1242" s="24" t="s">
        <v>1316</v>
      </c>
      <c r="E1242" s="18" t="s">
        <v>11</v>
      </c>
      <c r="F1242" s="25">
        <v>2055</v>
      </c>
      <c r="G1242" s="26">
        <v>1.03811897862057</v>
      </c>
    </row>
    <row r="1243" spans="1:7" x14ac:dyDescent="0.35">
      <c r="A1243" s="150">
        <f xml:space="preserve"> ROW( scalarDataframe[[#This Row],[row_id]] ) - ROW( scalarDataframe[[#Headers],[row_id]] )</f>
        <v>1242</v>
      </c>
      <c r="B1243" s="151" t="str">
        <f xml:space="preserve"> INDEX( co_scalarInfo[scalarType], MATCH( scalarDataframe[[#This Row],[scalarName]], co_scalarInfo[scalarName], 0 ) )</f>
        <v>physAdj</v>
      </c>
      <c r="C1243" s="152" t="str">
        <f xml:space="preserve"> INDEX( co_scalarInfo[scalarLabel], MATCH( scalarDataframe[[#This Row],[scalarName]], co_scalarInfo[scalarName], 0 ) )</f>
        <v>MH Demographic Proportion Adjustment Factor</v>
      </c>
      <c r="D1243" s="24" t="s">
        <v>1316</v>
      </c>
      <c r="E1243" s="18" t="s">
        <v>11</v>
      </c>
      <c r="F1243" s="25">
        <v>2059</v>
      </c>
      <c r="G1243" s="26">
        <v>1.04109988176516</v>
      </c>
    </row>
    <row r="1244" spans="1:7" x14ac:dyDescent="0.35">
      <c r="A1244" s="150">
        <f xml:space="preserve"> ROW( scalarDataframe[[#This Row],[row_id]] ) - ROW( scalarDataframe[[#Headers],[row_id]] )</f>
        <v>1243</v>
      </c>
      <c r="B1244" s="151" t="str">
        <f xml:space="preserve"> INDEX( co_scalarInfo[scalarType], MATCH( scalarDataframe[[#This Row],[scalarName]], co_scalarInfo[scalarName], 0 ) )</f>
        <v>physAdj</v>
      </c>
      <c r="C1244" s="152" t="str">
        <f xml:space="preserve"> INDEX( co_scalarInfo[scalarLabel], MATCH( scalarDataframe[[#This Row],[scalarName]], co_scalarInfo[scalarName], 0 ) )</f>
        <v>MH Demographic Proportion Adjustment Factor</v>
      </c>
      <c r="D1244" s="24" t="s">
        <v>1316</v>
      </c>
      <c r="E1244" s="18" t="s">
        <v>11</v>
      </c>
      <c r="F1244" s="25">
        <v>2061</v>
      </c>
      <c r="G1244" s="26">
        <v>1.04247108769373</v>
      </c>
    </row>
    <row r="1245" spans="1:7" x14ac:dyDescent="0.35">
      <c r="A1245" s="150">
        <f xml:space="preserve"> ROW( scalarDataframe[[#This Row],[row_id]] ) - ROW( scalarDataframe[[#Headers],[row_id]] )</f>
        <v>1244</v>
      </c>
      <c r="B1245" s="151" t="str">
        <f xml:space="preserve"> INDEX( co_scalarInfo[scalarType], MATCH( scalarDataframe[[#This Row],[scalarName]], co_scalarInfo[scalarName], 0 ) )</f>
        <v>physAdj</v>
      </c>
      <c r="C1245" s="152" t="str">
        <f xml:space="preserve"> INDEX( co_scalarInfo[scalarLabel], MATCH( scalarDataframe[[#This Row],[scalarName]], co_scalarInfo[scalarName], 0 ) )</f>
        <v>MH Demographic Proportion Adjustment Factor</v>
      </c>
      <c r="D1245" s="24" t="s">
        <v>1316</v>
      </c>
      <c r="E1245" s="18" t="s">
        <v>11</v>
      </c>
      <c r="F1245" s="25">
        <v>2062</v>
      </c>
      <c r="G1245" s="26">
        <v>1.04281297091589</v>
      </c>
    </row>
    <row r="1246" spans="1:7" x14ac:dyDescent="0.35">
      <c r="A1246" s="150">
        <f xml:space="preserve"> ROW( scalarDataframe[[#This Row],[row_id]] ) - ROW( scalarDataframe[[#Headers],[row_id]] )</f>
        <v>1245</v>
      </c>
      <c r="B1246" s="151" t="str">
        <f xml:space="preserve"> INDEX( co_scalarInfo[scalarType], MATCH( scalarDataframe[[#This Row],[scalarName]], co_scalarInfo[scalarName], 0 ) )</f>
        <v>physAdj</v>
      </c>
      <c r="C1246" s="152" t="str">
        <f xml:space="preserve"> INDEX( co_scalarInfo[scalarLabel], MATCH( scalarDataframe[[#This Row],[scalarName]], co_scalarInfo[scalarName], 0 ) )</f>
        <v>MH Demographic Proportion Adjustment Factor</v>
      </c>
      <c r="D1246" s="24" t="s">
        <v>1316</v>
      </c>
      <c r="E1246" s="18" t="s">
        <v>11</v>
      </c>
      <c r="F1246" s="25">
        <v>2064</v>
      </c>
      <c r="G1246" s="26">
        <v>1.0435186292485299</v>
      </c>
    </row>
    <row r="1247" spans="1:7" x14ac:dyDescent="0.35">
      <c r="A1247" s="150">
        <f xml:space="preserve"> ROW( scalarDataframe[[#This Row],[row_id]] ) - ROW( scalarDataframe[[#Headers],[row_id]] )</f>
        <v>1246</v>
      </c>
      <c r="B1247" s="151" t="str">
        <f xml:space="preserve"> INDEX( co_scalarInfo[scalarType], MATCH( scalarDataframe[[#This Row],[scalarName]], co_scalarInfo[scalarName], 0 ) )</f>
        <v>physAdj</v>
      </c>
      <c r="C1247" s="152" t="str">
        <f xml:space="preserve"> INDEX( co_scalarInfo[scalarLabel], MATCH( scalarDataframe[[#This Row],[scalarName]], co_scalarInfo[scalarName], 0 ) )</f>
        <v>MH Demographic Proportion Adjustment Factor</v>
      </c>
      <c r="D1247" s="24" t="s">
        <v>1316</v>
      </c>
      <c r="E1247" s="18" t="s">
        <v>11</v>
      </c>
      <c r="F1247" s="25">
        <v>2067</v>
      </c>
      <c r="G1247" s="26">
        <v>1.0448510263386801</v>
      </c>
    </row>
    <row r="1248" spans="1:7" x14ac:dyDescent="0.35">
      <c r="A1248" s="150">
        <f xml:space="preserve"> ROW( scalarDataframe[[#This Row],[row_id]] ) - ROW( scalarDataframe[[#Headers],[row_id]] )</f>
        <v>1247</v>
      </c>
      <c r="B1248" s="151" t="str">
        <f xml:space="preserve"> INDEX( co_scalarInfo[scalarType], MATCH( scalarDataframe[[#This Row],[scalarName]], co_scalarInfo[scalarName], 0 ) )</f>
        <v>physAdj</v>
      </c>
      <c r="C1248" s="152" t="str">
        <f xml:space="preserve"> INDEX( co_scalarInfo[scalarLabel], MATCH( scalarDataframe[[#This Row],[scalarName]], co_scalarInfo[scalarName], 0 ) )</f>
        <v>MH Demographic Proportion Adjustment Factor</v>
      </c>
      <c r="D1248" s="24" t="s">
        <v>1316</v>
      </c>
      <c r="E1248" s="18" t="s">
        <v>11</v>
      </c>
      <c r="F1248" s="25">
        <v>2071</v>
      </c>
      <c r="G1248" s="26">
        <v>1.0467764486554101</v>
      </c>
    </row>
    <row r="1249" spans="1:7" x14ac:dyDescent="0.35">
      <c r="A1249" s="150">
        <f xml:space="preserve"> ROW( scalarDataframe[[#This Row],[row_id]] ) - ROW( scalarDataframe[[#Headers],[row_id]] )</f>
        <v>1248</v>
      </c>
      <c r="B1249" s="151" t="str">
        <f xml:space="preserve"> INDEX( co_scalarInfo[scalarType], MATCH( scalarDataframe[[#This Row],[scalarName]], co_scalarInfo[scalarName], 0 ) )</f>
        <v>physAdj</v>
      </c>
      <c r="C1249" s="152" t="str">
        <f xml:space="preserve"> INDEX( co_scalarInfo[scalarLabel], MATCH( scalarDataframe[[#This Row],[scalarName]], co_scalarInfo[scalarName], 0 ) )</f>
        <v>MH Demographic Proportion Adjustment Factor</v>
      </c>
      <c r="D1249" s="24" t="s">
        <v>1316</v>
      </c>
      <c r="E1249" s="18" t="s">
        <v>11</v>
      </c>
      <c r="F1249" s="25">
        <v>2076</v>
      </c>
      <c r="G1249" s="26">
        <v>1.0482886199775101</v>
      </c>
    </row>
    <row r="1250" spans="1:7" x14ac:dyDescent="0.35">
      <c r="A1250" s="150">
        <f xml:space="preserve"> ROW( scalarDataframe[[#This Row],[row_id]] ) - ROW( scalarDataframe[[#Headers],[row_id]] )</f>
        <v>1249</v>
      </c>
      <c r="B1250" s="151" t="str">
        <f xml:space="preserve"> INDEX( co_scalarInfo[scalarType], MATCH( scalarDataframe[[#This Row],[scalarName]], co_scalarInfo[scalarName], 0 ) )</f>
        <v>physAdj</v>
      </c>
      <c r="C1250" s="152" t="str">
        <f xml:space="preserve"> INDEX( co_scalarInfo[scalarLabel], MATCH( scalarDataframe[[#This Row],[scalarName]], co_scalarInfo[scalarName], 0 ) )</f>
        <v>MH Demographic Proportion Adjustment Factor</v>
      </c>
      <c r="D1250" s="24" t="s">
        <v>1316</v>
      </c>
      <c r="E1250" s="18" t="s">
        <v>11</v>
      </c>
      <c r="F1250" s="25">
        <v>2077</v>
      </c>
      <c r="G1250" s="26">
        <v>1.04854107921615</v>
      </c>
    </row>
    <row r="1251" spans="1:7" x14ac:dyDescent="0.35">
      <c r="A1251" s="150">
        <f xml:space="preserve"> ROW( scalarDataframe[[#This Row],[row_id]] ) - ROW( scalarDataframe[[#Headers],[row_id]] )</f>
        <v>1250</v>
      </c>
      <c r="B1251" s="151" t="str">
        <f xml:space="preserve"> INDEX( co_scalarInfo[scalarType], MATCH( scalarDataframe[[#This Row],[scalarName]], co_scalarInfo[scalarName], 0 ) )</f>
        <v>physAdj</v>
      </c>
      <c r="C1251" s="152" t="str">
        <f xml:space="preserve"> INDEX( co_scalarInfo[scalarLabel], MATCH( scalarDataframe[[#This Row],[scalarName]], co_scalarInfo[scalarName], 0 ) )</f>
        <v>MH Demographic Proportion Adjustment Factor</v>
      </c>
      <c r="D1251" s="24" t="s">
        <v>1316</v>
      </c>
      <c r="E1251" s="18" t="s">
        <v>11</v>
      </c>
      <c r="F1251" s="25">
        <v>2081</v>
      </c>
      <c r="G1251" s="26">
        <v>1.05007410869457</v>
      </c>
    </row>
    <row r="1252" spans="1:7" x14ac:dyDescent="0.35">
      <c r="A1252" s="150">
        <f xml:space="preserve"> ROW( scalarDataframe[[#This Row],[row_id]] ) - ROW( scalarDataframe[[#Headers],[row_id]] )</f>
        <v>1251</v>
      </c>
      <c r="B1252" s="151" t="str">
        <f xml:space="preserve"> INDEX( co_scalarInfo[scalarType], MATCH( scalarDataframe[[#This Row],[scalarName]], co_scalarInfo[scalarName], 0 ) )</f>
        <v>physAdj</v>
      </c>
      <c r="C1252" s="152" t="str">
        <f xml:space="preserve"> INDEX( co_scalarInfo[scalarLabel], MATCH( scalarDataframe[[#This Row],[scalarName]], co_scalarInfo[scalarName], 0 ) )</f>
        <v>MH Demographic Proportion Adjustment Factor</v>
      </c>
      <c r="D1252" s="24" t="s">
        <v>1316</v>
      </c>
      <c r="E1252" s="18" t="s">
        <v>11</v>
      </c>
      <c r="F1252" s="25">
        <v>2082</v>
      </c>
      <c r="G1252" s="26">
        <v>1.05105341440398</v>
      </c>
    </row>
    <row r="1253" spans="1:7" x14ac:dyDescent="0.35">
      <c r="A1253" s="150">
        <f xml:space="preserve"> ROW( scalarDataframe[[#This Row],[row_id]] ) - ROW( scalarDataframe[[#Headers],[row_id]] )</f>
        <v>1252</v>
      </c>
      <c r="B1253" s="151" t="str">
        <f xml:space="preserve"> INDEX( co_scalarInfo[scalarType], MATCH( scalarDataframe[[#This Row],[scalarName]], co_scalarInfo[scalarName], 0 ) )</f>
        <v>physAdj</v>
      </c>
      <c r="C1253" s="152" t="str">
        <f xml:space="preserve"> INDEX( co_scalarInfo[scalarLabel], MATCH( scalarDataframe[[#This Row],[scalarName]], co_scalarInfo[scalarName], 0 ) )</f>
        <v>MH Demographic Proportion Adjustment Factor</v>
      </c>
      <c r="D1253" s="24" t="s">
        <v>1316</v>
      </c>
      <c r="E1253" s="18" t="s">
        <v>11</v>
      </c>
      <c r="F1253" s="25">
        <v>2087</v>
      </c>
      <c r="G1253" s="26">
        <v>1.0551764251021001</v>
      </c>
    </row>
    <row r="1254" spans="1:7" x14ac:dyDescent="0.35">
      <c r="A1254" s="150">
        <f xml:space="preserve"> ROW( scalarDataframe[[#This Row],[row_id]] ) - ROW( scalarDataframe[[#Headers],[row_id]] )</f>
        <v>1253</v>
      </c>
      <c r="B1254" s="151" t="str">
        <f xml:space="preserve"> INDEX( co_scalarInfo[scalarType], MATCH( scalarDataframe[[#This Row],[scalarName]], co_scalarInfo[scalarName], 0 ) )</f>
        <v>physAdj</v>
      </c>
      <c r="C1254" s="152" t="str">
        <f xml:space="preserve"> INDEX( co_scalarInfo[scalarLabel], MATCH( scalarDataframe[[#This Row],[scalarName]], co_scalarInfo[scalarName], 0 ) )</f>
        <v>MH Demographic Proportion Adjustment Factor</v>
      </c>
      <c r="D1254" s="24" t="s">
        <v>1316</v>
      </c>
      <c r="E1254" s="18" t="s">
        <v>11</v>
      </c>
      <c r="F1254" s="25">
        <v>2091</v>
      </c>
      <c r="G1254" s="26">
        <v>1.05853553219845</v>
      </c>
    </row>
    <row r="1255" spans="1:7" x14ac:dyDescent="0.35">
      <c r="A1255" s="150">
        <f xml:space="preserve"> ROW( scalarDataframe[[#This Row],[row_id]] ) - ROW( scalarDataframe[[#Headers],[row_id]] )</f>
        <v>1254</v>
      </c>
      <c r="B1255" s="151" t="str">
        <f xml:space="preserve"> INDEX( co_scalarInfo[scalarType], MATCH( scalarDataframe[[#This Row],[scalarName]], co_scalarInfo[scalarName], 0 ) )</f>
        <v>physAdj</v>
      </c>
      <c r="C1255" s="152" t="str">
        <f xml:space="preserve"> INDEX( co_scalarInfo[scalarLabel], MATCH( scalarDataframe[[#This Row],[scalarName]], co_scalarInfo[scalarName], 0 ) )</f>
        <v>MH Demographic Proportion Adjustment Factor</v>
      </c>
      <c r="D1255" s="24" t="s">
        <v>1316</v>
      </c>
      <c r="E1255" s="18" t="s">
        <v>12</v>
      </c>
      <c r="F1255" s="25">
        <v>2011</v>
      </c>
      <c r="G1255" s="26">
        <v>0.99608571239503896</v>
      </c>
    </row>
    <row r="1256" spans="1:7" x14ac:dyDescent="0.35">
      <c r="A1256" s="150">
        <f xml:space="preserve"> ROW( scalarDataframe[[#This Row],[row_id]] ) - ROW( scalarDataframe[[#Headers],[row_id]] )</f>
        <v>1255</v>
      </c>
      <c r="B1256" s="151" t="str">
        <f xml:space="preserve"> INDEX( co_scalarInfo[scalarType], MATCH( scalarDataframe[[#This Row],[scalarName]], co_scalarInfo[scalarName], 0 ) )</f>
        <v>physAdj</v>
      </c>
      <c r="C1256" s="152" t="str">
        <f xml:space="preserve"> INDEX( co_scalarInfo[scalarLabel], MATCH( scalarDataframe[[#This Row],[scalarName]], co_scalarInfo[scalarName], 0 ) )</f>
        <v>MH Demographic Proportion Adjustment Factor</v>
      </c>
      <c r="D1256" s="24" t="s">
        <v>1316</v>
      </c>
      <c r="E1256" s="18" t="s">
        <v>12</v>
      </c>
      <c r="F1256" s="25">
        <v>2013</v>
      </c>
      <c r="G1256" s="26">
        <v>0.998093091884803</v>
      </c>
    </row>
    <row r="1257" spans="1:7" x14ac:dyDescent="0.35">
      <c r="A1257" s="150">
        <f xml:space="preserve"> ROW( scalarDataframe[[#This Row],[row_id]] ) - ROW( scalarDataframe[[#Headers],[row_id]] )</f>
        <v>1256</v>
      </c>
      <c r="B1257" s="151" t="str">
        <f xml:space="preserve"> INDEX( co_scalarInfo[scalarType], MATCH( scalarDataframe[[#This Row],[scalarName]], co_scalarInfo[scalarName], 0 ) )</f>
        <v>physAdj</v>
      </c>
      <c r="C1257" s="152" t="str">
        <f xml:space="preserve"> INDEX( co_scalarInfo[scalarLabel], MATCH( scalarDataframe[[#This Row],[scalarName]], co_scalarInfo[scalarName], 0 ) )</f>
        <v>MH Demographic Proportion Adjustment Factor</v>
      </c>
      <c r="D1257" s="24" t="s">
        <v>1316</v>
      </c>
      <c r="E1257" s="18" t="s">
        <v>12</v>
      </c>
      <c r="F1257" s="25">
        <v>2017</v>
      </c>
      <c r="G1257" s="26">
        <v>1.00158088489619</v>
      </c>
    </row>
    <row r="1258" spans="1:7" x14ac:dyDescent="0.35">
      <c r="A1258" s="150">
        <f xml:space="preserve"> ROW( scalarDataframe[[#This Row],[row_id]] ) - ROW( scalarDataframe[[#Headers],[row_id]] )</f>
        <v>1257</v>
      </c>
      <c r="B1258" s="151" t="str">
        <f xml:space="preserve"> INDEX( co_scalarInfo[scalarType], MATCH( scalarDataframe[[#This Row],[scalarName]], co_scalarInfo[scalarName], 0 ) )</f>
        <v>physAdj</v>
      </c>
      <c r="C1258" s="152" t="str">
        <f xml:space="preserve"> INDEX( co_scalarInfo[scalarLabel], MATCH( scalarDataframe[[#This Row],[scalarName]], co_scalarInfo[scalarName], 0 ) )</f>
        <v>MH Demographic Proportion Adjustment Factor</v>
      </c>
      <c r="D1258" s="24" t="s">
        <v>1316</v>
      </c>
      <c r="E1258" s="18" t="s">
        <v>12</v>
      </c>
      <c r="F1258" s="25">
        <v>2025</v>
      </c>
      <c r="G1258" s="26">
        <v>1.01294094326785</v>
      </c>
    </row>
    <row r="1259" spans="1:7" x14ac:dyDescent="0.35">
      <c r="A1259" s="150">
        <f xml:space="preserve"> ROW( scalarDataframe[[#This Row],[row_id]] ) - ROW( scalarDataframe[[#Headers],[row_id]] )</f>
        <v>1258</v>
      </c>
      <c r="B1259" s="151" t="str">
        <f xml:space="preserve"> INDEX( co_scalarInfo[scalarType], MATCH( scalarDataframe[[#This Row],[scalarName]], co_scalarInfo[scalarName], 0 ) )</f>
        <v>physAdj</v>
      </c>
      <c r="C1259" s="152" t="str">
        <f xml:space="preserve"> INDEX( co_scalarInfo[scalarLabel], MATCH( scalarDataframe[[#This Row],[scalarName]], co_scalarInfo[scalarName], 0 ) )</f>
        <v>MH Demographic Proportion Adjustment Factor</v>
      </c>
      <c r="D1259" s="24" t="s">
        <v>1316</v>
      </c>
      <c r="E1259" s="18" t="s">
        <v>12</v>
      </c>
      <c r="F1259" s="25">
        <v>2029</v>
      </c>
      <c r="G1259" s="26">
        <v>1.0195259366946201</v>
      </c>
    </row>
    <row r="1260" spans="1:7" x14ac:dyDescent="0.35">
      <c r="A1260" s="150">
        <f xml:space="preserve"> ROW( scalarDataframe[[#This Row],[row_id]] ) - ROW( scalarDataframe[[#Headers],[row_id]] )</f>
        <v>1259</v>
      </c>
      <c r="B1260" s="151" t="str">
        <f xml:space="preserve"> INDEX( co_scalarInfo[scalarType], MATCH( scalarDataframe[[#This Row],[scalarName]], co_scalarInfo[scalarName], 0 ) )</f>
        <v>physAdj</v>
      </c>
      <c r="C1260" s="152" t="str">
        <f xml:space="preserve"> INDEX( co_scalarInfo[scalarLabel], MATCH( scalarDataframe[[#This Row],[scalarName]], co_scalarInfo[scalarName], 0 ) )</f>
        <v>MH Demographic Proportion Adjustment Factor</v>
      </c>
      <c r="D1260" s="24" t="s">
        <v>1316</v>
      </c>
      <c r="E1260" s="18" t="s">
        <v>12</v>
      </c>
      <c r="F1260" s="25">
        <v>2032</v>
      </c>
      <c r="G1260" s="26">
        <v>1.0245922778789001</v>
      </c>
    </row>
    <row r="1261" spans="1:7" x14ac:dyDescent="0.35">
      <c r="A1261" s="150">
        <f xml:space="preserve"> ROW( scalarDataframe[[#This Row],[row_id]] ) - ROW( scalarDataframe[[#Headers],[row_id]] )</f>
        <v>1260</v>
      </c>
      <c r="B1261" s="151" t="str">
        <f xml:space="preserve"> INDEX( co_scalarInfo[scalarType], MATCH( scalarDataframe[[#This Row],[scalarName]], co_scalarInfo[scalarName], 0 ) )</f>
        <v>physAdj</v>
      </c>
      <c r="C1261" s="152" t="str">
        <f xml:space="preserve"> INDEX( co_scalarInfo[scalarLabel], MATCH( scalarDataframe[[#This Row],[scalarName]], co_scalarInfo[scalarName], 0 ) )</f>
        <v>MH Demographic Proportion Adjustment Factor</v>
      </c>
      <c r="D1261" s="24" t="s">
        <v>1316</v>
      </c>
      <c r="E1261" s="18" t="s">
        <v>12</v>
      </c>
      <c r="F1261" s="25">
        <v>2033</v>
      </c>
      <c r="G1261" s="26">
        <v>1.0263057313645401</v>
      </c>
    </row>
    <row r="1262" spans="1:7" x14ac:dyDescent="0.35">
      <c r="A1262" s="150">
        <f xml:space="preserve"> ROW( scalarDataframe[[#This Row],[row_id]] ) - ROW( scalarDataframe[[#Headers],[row_id]] )</f>
        <v>1261</v>
      </c>
      <c r="B1262" s="151" t="str">
        <f xml:space="preserve"> INDEX( co_scalarInfo[scalarType], MATCH( scalarDataframe[[#This Row],[scalarName]], co_scalarInfo[scalarName], 0 ) )</f>
        <v>physAdj</v>
      </c>
      <c r="C1262" s="152" t="str">
        <f xml:space="preserve"> INDEX( co_scalarInfo[scalarLabel], MATCH( scalarDataframe[[#This Row],[scalarName]], co_scalarInfo[scalarName], 0 ) )</f>
        <v>MH Demographic Proportion Adjustment Factor</v>
      </c>
      <c r="D1262" s="24" t="s">
        <v>1316</v>
      </c>
      <c r="E1262" s="18" t="s">
        <v>12</v>
      </c>
      <c r="F1262" s="25">
        <v>2037</v>
      </c>
      <c r="G1262" s="26">
        <v>1.0328384722180299</v>
      </c>
    </row>
    <row r="1263" spans="1:7" x14ac:dyDescent="0.35">
      <c r="A1263" s="150">
        <f xml:space="preserve"> ROW( scalarDataframe[[#This Row],[row_id]] ) - ROW( scalarDataframe[[#Headers],[row_id]] )</f>
        <v>1262</v>
      </c>
      <c r="B1263" s="151" t="str">
        <f xml:space="preserve"> INDEX( co_scalarInfo[scalarType], MATCH( scalarDataframe[[#This Row],[scalarName]], co_scalarInfo[scalarName], 0 ) )</f>
        <v>physAdj</v>
      </c>
      <c r="C1263" s="152" t="str">
        <f xml:space="preserve"> INDEX( co_scalarInfo[scalarLabel], MATCH( scalarDataframe[[#This Row],[scalarName]], co_scalarInfo[scalarName], 0 ) )</f>
        <v>MH Demographic Proportion Adjustment Factor</v>
      </c>
      <c r="D1263" s="24" t="s">
        <v>1316</v>
      </c>
      <c r="E1263" s="18" t="s">
        <v>12</v>
      </c>
      <c r="F1263" s="25">
        <v>2044</v>
      </c>
      <c r="G1263" s="26">
        <v>1.0390395996821999</v>
      </c>
    </row>
    <row r="1264" spans="1:7" x14ac:dyDescent="0.35">
      <c r="A1264" s="150">
        <f xml:space="preserve"> ROW( scalarDataframe[[#This Row],[row_id]] ) - ROW( scalarDataframe[[#Headers],[row_id]] )</f>
        <v>1263</v>
      </c>
      <c r="B1264" s="151" t="str">
        <f xml:space="preserve"> INDEX( co_scalarInfo[scalarType], MATCH( scalarDataframe[[#This Row],[scalarName]], co_scalarInfo[scalarName], 0 ) )</f>
        <v>physAdj</v>
      </c>
      <c r="C1264" s="152" t="str">
        <f xml:space="preserve"> INDEX( co_scalarInfo[scalarLabel], MATCH( scalarDataframe[[#This Row],[scalarName]], co_scalarInfo[scalarName], 0 ) )</f>
        <v>MH Demographic Proportion Adjustment Factor</v>
      </c>
      <c r="D1264" s="24" t="s">
        <v>1316</v>
      </c>
      <c r="E1264" s="18" t="s">
        <v>12</v>
      </c>
      <c r="F1264" s="25">
        <v>2048</v>
      </c>
      <c r="G1264" s="26">
        <v>1.0409511555854101</v>
      </c>
    </row>
    <row r="1265" spans="1:7" x14ac:dyDescent="0.35">
      <c r="A1265" s="150">
        <f xml:space="preserve"> ROW( scalarDataframe[[#This Row],[row_id]] ) - ROW( scalarDataframe[[#Headers],[row_id]] )</f>
        <v>1264</v>
      </c>
      <c r="B1265" s="151" t="str">
        <f xml:space="preserve"> INDEX( co_scalarInfo[scalarType], MATCH( scalarDataframe[[#This Row],[scalarName]], co_scalarInfo[scalarName], 0 ) )</f>
        <v>physAdj</v>
      </c>
      <c r="C1265" s="152" t="str">
        <f xml:space="preserve"> INDEX( co_scalarInfo[scalarLabel], MATCH( scalarDataframe[[#This Row],[scalarName]], co_scalarInfo[scalarName], 0 ) )</f>
        <v>MH Demographic Proportion Adjustment Factor</v>
      </c>
      <c r="D1265" s="24" t="s">
        <v>1316</v>
      </c>
      <c r="E1265" s="18" t="s">
        <v>12</v>
      </c>
      <c r="F1265" s="25">
        <v>2049</v>
      </c>
      <c r="G1265" s="26">
        <v>1.04129346456116</v>
      </c>
    </row>
    <row r="1266" spans="1:7" x14ac:dyDescent="0.35">
      <c r="A1266" s="150">
        <f xml:space="preserve"> ROW( scalarDataframe[[#This Row],[row_id]] ) - ROW( scalarDataframe[[#Headers],[row_id]] )</f>
        <v>1265</v>
      </c>
      <c r="B1266" s="151" t="str">
        <f xml:space="preserve"> INDEX( co_scalarInfo[scalarType], MATCH( scalarDataframe[[#This Row],[scalarName]], co_scalarInfo[scalarName], 0 ) )</f>
        <v>physAdj</v>
      </c>
      <c r="C1266" s="152" t="str">
        <f xml:space="preserve"> INDEX( co_scalarInfo[scalarLabel], MATCH( scalarDataframe[[#This Row],[scalarName]], co_scalarInfo[scalarName], 0 ) )</f>
        <v>MH Demographic Proportion Adjustment Factor</v>
      </c>
      <c r="D1266" s="24" t="s">
        <v>1316</v>
      </c>
      <c r="E1266" s="18" t="s">
        <v>12</v>
      </c>
      <c r="F1266" s="25">
        <v>2050</v>
      </c>
      <c r="G1266" s="26">
        <v>1.0416147718245701</v>
      </c>
    </row>
    <row r="1267" spans="1:7" x14ac:dyDescent="0.35">
      <c r="A1267" s="150">
        <f xml:space="preserve"> ROW( scalarDataframe[[#This Row],[row_id]] ) - ROW( scalarDataframe[[#Headers],[row_id]] )</f>
        <v>1266</v>
      </c>
      <c r="B1267" s="151" t="str">
        <f xml:space="preserve"> INDEX( co_scalarInfo[scalarType], MATCH( scalarDataframe[[#This Row],[scalarName]], co_scalarInfo[scalarName], 0 ) )</f>
        <v>physAdj</v>
      </c>
      <c r="C1267" s="152" t="str">
        <f xml:space="preserve"> INDEX( co_scalarInfo[scalarLabel], MATCH( scalarDataframe[[#This Row],[scalarName]], co_scalarInfo[scalarName], 0 ) )</f>
        <v>MH Demographic Proportion Adjustment Factor</v>
      </c>
      <c r="D1267" s="24" t="s">
        <v>1316</v>
      </c>
      <c r="E1267" s="18" t="s">
        <v>12</v>
      </c>
      <c r="F1267" s="25">
        <v>2052</v>
      </c>
      <c r="G1267" s="26">
        <v>1.0423598245597201</v>
      </c>
    </row>
    <row r="1268" spans="1:7" x14ac:dyDescent="0.35">
      <c r="A1268" s="150">
        <f xml:space="preserve"> ROW( scalarDataframe[[#This Row],[row_id]] ) - ROW( scalarDataframe[[#Headers],[row_id]] )</f>
        <v>1267</v>
      </c>
      <c r="B1268" s="151" t="str">
        <f xml:space="preserve"> INDEX( co_scalarInfo[scalarType], MATCH( scalarDataframe[[#This Row],[scalarName]], co_scalarInfo[scalarName], 0 ) )</f>
        <v>physAdj</v>
      </c>
      <c r="C1268" s="152" t="str">
        <f xml:space="preserve"> INDEX( co_scalarInfo[scalarLabel], MATCH( scalarDataframe[[#This Row],[scalarName]], co_scalarInfo[scalarName], 0 ) )</f>
        <v>MH Demographic Proportion Adjustment Factor</v>
      </c>
      <c r="D1268" s="24" t="s">
        <v>1316</v>
      </c>
      <c r="E1268" s="18" t="s">
        <v>12</v>
      </c>
      <c r="F1268" s="25">
        <v>2055</v>
      </c>
      <c r="G1268" s="26">
        <v>1.0432027213146799</v>
      </c>
    </row>
    <row r="1269" spans="1:7" x14ac:dyDescent="0.35">
      <c r="A1269" s="150">
        <f xml:space="preserve"> ROW( scalarDataframe[[#This Row],[row_id]] ) - ROW( scalarDataframe[[#Headers],[row_id]] )</f>
        <v>1268</v>
      </c>
      <c r="B1269" s="151" t="str">
        <f xml:space="preserve"> INDEX( co_scalarInfo[scalarType], MATCH( scalarDataframe[[#This Row],[scalarName]], co_scalarInfo[scalarName], 0 ) )</f>
        <v>physAdj</v>
      </c>
      <c r="C1269" s="152" t="str">
        <f xml:space="preserve"> INDEX( co_scalarInfo[scalarLabel], MATCH( scalarDataframe[[#This Row],[scalarName]], co_scalarInfo[scalarName], 0 ) )</f>
        <v>MH Demographic Proportion Adjustment Factor</v>
      </c>
      <c r="D1269" s="24" t="s">
        <v>1316</v>
      </c>
      <c r="E1269" s="18" t="s">
        <v>12</v>
      </c>
      <c r="F1269" s="25">
        <v>2059</v>
      </c>
      <c r="G1269" s="26">
        <v>1.0444052965658699</v>
      </c>
    </row>
    <row r="1270" spans="1:7" x14ac:dyDescent="0.35">
      <c r="A1270" s="150">
        <f xml:space="preserve"> ROW( scalarDataframe[[#This Row],[row_id]] ) - ROW( scalarDataframe[[#Headers],[row_id]] )</f>
        <v>1269</v>
      </c>
      <c r="B1270" s="151" t="str">
        <f xml:space="preserve"> INDEX( co_scalarInfo[scalarType], MATCH( scalarDataframe[[#This Row],[scalarName]], co_scalarInfo[scalarName], 0 ) )</f>
        <v>physAdj</v>
      </c>
      <c r="C1270" s="152" t="str">
        <f xml:space="preserve"> INDEX( co_scalarInfo[scalarLabel], MATCH( scalarDataframe[[#This Row],[scalarName]], co_scalarInfo[scalarName], 0 ) )</f>
        <v>MH Demographic Proportion Adjustment Factor</v>
      </c>
      <c r="D1270" s="24" t="s">
        <v>1316</v>
      </c>
      <c r="E1270" s="18" t="s">
        <v>12</v>
      </c>
      <c r="F1270" s="25">
        <v>2061</v>
      </c>
      <c r="G1270" s="26">
        <v>1.04492359158966</v>
      </c>
    </row>
    <row r="1271" spans="1:7" x14ac:dyDescent="0.35">
      <c r="A1271" s="150">
        <f xml:space="preserve"> ROW( scalarDataframe[[#This Row],[row_id]] ) - ROW( scalarDataframe[[#Headers],[row_id]] )</f>
        <v>1270</v>
      </c>
      <c r="B1271" s="151" t="str">
        <f xml:space="preserve"> INDEX( co_scalarInfo[scalarType], MATCH( scalarDataframe[[#This Row],[scalarName]], co_scalarInfo[scalarName], 0 ) )</f>
        <v>physAdj</v>
      </c>
      <c r="C1271" s="152" t="str">
        <f xml:space="preserve"> INDEX( co_scalarInfo[scalarLabel], MATCH( scalarDataframe[[#This Row],[scalarName]], co_scalarInfo[scalarName], 0 ) )</f>
        <v>MH Demographic Proportion Adjustment Factor</v>
      </c>
      <c r="D1271" s="24" t="s">
        <v>1316</v>
      </c>
      <c r="E1271" s="18" t="s">
        <v>12</v>
      </c>
      <c r="F1271" s="25">
        <v>2062</v>
      </c>
      <c r="G1271" s="26">
        <v>1.0452638143802899</v>
      </c>
    </row>
    <row r="1272" spans="1:7" x14ac:dyDescent="0.35">
      <c r="A1272" s="150">
        <f xml:space="preserve"> ROW( scalarDataframe[[#This Row],[row_id]] ) - ROW( scalarDataframe[[#Headers],[row_id]] )</f>
        <v>1271</v>
      </c>
      <c r="B1272" s="151" t="str">
        <f xml:space="preserve"> INDEX( co_scalarInfo[scalarType], MATCH( scalarDataframe[[#This Row],[scalarName]], co_scalarInfo[scalarName], 0 ) )</f>
        <v>physAdj</v>
      </c>
      <c r="C1272" s="152" t="str">
        <f xml:space="preserve"> INDEX( co_scalarInfo[scalarLabel], MATCH( scalarDataframe[[#This Row],[scalarName]], co_scalarInfo[scalarName], 0 ) )</f>
        <v>MH Demographic Proportion Adjustment Factor</v>
      </c>
      <c r="D1272" s="24" t="s">
        <v>1316</v>
      </c>
      <c r="E1272" s="18" t="s">
        <v>12</v>
      </c>
      <c r="F1272" s="25">
        <v>2064</v>
      </c>
      <c r="G1272" s="26">
        <v>1.04542771494161</v>
      </c>
    </row>
    <row r="1273" spans="1:7" x14ac:dyDescent="0.35">
      <c r="A1273" s="150">
        <f xml:space="preserve"> ROW( scalarDataframe[[#This Row],[row_id]] ) - ROW( scalarDataframe[[#Headers],[row_id]] )</f>
        <v>1272</v>
      </c>
      <c r="B1273" s="151" t="str">
        <f xml:space="preserve"> INDEX( co_scalarInfo[scalarType], MATCH( scalarDataframe[[#This Row],[scalarName]], co_scalarInfo[scalarName], 0 ) )</f>
        <v>physAdj</v>
      </c>
      <c r="C1273" s="152" t="str">
        <f xml:space="preserve"> INDEX( co_scalarInfo[scalarLabel], MATCH( scalarDataframe[[#This Row],[scalarName]], co_scalarInfo[scalarName], 0 ) )</f>
        <v>MH Demographic Proportion Adjustment Factor</v>
      </c>
      <c r="D1273" s="24" t="s">
        <v>1316</v>
      </c>
      <c r="E1273" s="18" t="s">
        <v>12</v>
      </c>
      <c r="F1273" s="25">
        <v>2067</v>
      </c>
      <c r="G1273" s="26">
        <v>1.04588444021676</v>
      </c>
    </row>
    <row r="1274" spans="1:7" x14ac:dyDescent="0.35">
      <c r="A1274" s="150">
        <f xml:space="preserve"> ROW( scalarDataframe[[#This Row],[row_id]] ) - ROW( scalarDataframe[[#Headers],[row_id]] )</f>
        <v>1273</v>
      </c>
      <c r="B1274" s="151" t="str">
        <f xml:space="preserve"> INDEX( co_scalarInfo[scalarType], MATCH( scalarDataframe[[#This Row],[scalarName]], co_scalarInfo[scalarName], 0 ) )</f>
        <v>physAdj</v>
      </c>
      <c r="C1274" s="152" t="str">
        <f xml:space="preserve"> INDEX( co_scalarInfo[scalarLabel], MATCH( scalarDataframe[[#This Row],[scalarName]], co_scalarInfo[scalarName], 0 ) )</f>
        <v>MH Demographic Proportion Adjustment Factor</v>
      </c>
      <c r="D1274" s="24" t="s">
        <v>1316</v>
      </c>
      <c r="E1274" s="18" t="s">
        <v>12</v>
      </c>
      <c r="F1274" s="25">
        <v>2071</v>
      </c>
      <c r="G1274" s="26">
        <v>1.0463075900388601</v>
      </c>
    </row>
    <row r="1275" spans="1:7" x14ac:dyDescent="0.35">
      <c r="A1275" s="150">
        <f xml:space="preserve"> ROW( scalarDataframe[[#This Row],[row_id]] ) - ROW( scalarDataframe[[#Headers],[row_id]] )</f>
        <v>1274</v>
      </c>
      <c r="B1275" s="151" t="str">
        <f xml:space="preserve"> INDEX( co_scalarInfo[scalarType], MATCH( scalarDataframe[[#This Row],[scalarName]], co_scalarInfo[scalarName], 0 ) )</f>
        <v>physAdj</v>
      </c>
      <c r="C1275" s="152" t="str">
        <f xml:space="preserve"> INDEX( co_scalarInfo[scalarLabel], MATCH( scalarDataframe[[#This Row],[scalarName]], co_scalarInfo[scalarName], 0 ) )</f>
        <v>MH Demographic Proportion Adjustment Factor</v>
      </c>
      <c r="D1275" s="24" t="s">
        <v>1316</v>
      </c>
      <c r="E1275" s="18" t="s">
        <v>12</v>
      </c>
      <c r="F1275" s="25">
        <v>2076</v>
      </c>
      <c r="G1275" s="26">
        <v>1.04554446430666</v>
      </c>
    </row>
    <row r="1276" spans="1:7" x14ac:dyDescent="0.35">
      <c r="A1276" s="150">
        <f xml:space="preserve"> ROW( scalarDataframe[[#This Row],[row_id]] ) - ROW( scalarDataframe[[#Headers],[row_id]] )</f>
        <v>1275</v>
      </c>
      <c r="B1276" s="151" t="str">
        <f xml:space="preserve"> INDEX( co_scalarInfo[scalarType], MATCH( scalarDataframe[[#This Row],[scalarName]], co_scalarInfo[scalarName], 0 ) )</f>
        <v>physAdj</v>
      </c>
      <c r="C1276" s="152" t="str">
        <f xml:space="preserve"> INDEX( co_scalarInfo[scalarLabel], MATCH( scalarDataframe[[#This Row],[scalarName]], co_scalarInfo[scalarName], 0 ) )</f>
        <v>MH Demographic Proportion Adjustment Factor</v>
      </c>
      <c r="D1276" s="24" t="s">
        <v>1316</v>
      </c>
      <c r="E1276" s="18" t="s">
        <v>12</v>
      </c>
      <c r="F1276" s="25">
        <v>2077</v>
      </c>
      <c r="G1276" s="26">
        <v>1.0452837059790201</v>
      </c>
    </row>
    <row r="1277" spans="1:7" x14ac:dyDescent="0.35">
      <c r="A1277" s="150">
        <f xml:space="preserve"> ROW( scalarDataframe[[#This Row],[row_id]] ) - ROW( scalarDataframe[[#Headers],[row_id]] )</f>
        <v>1276</v>
      </c>
      <c r="B1277" s="151" t="str">
        <f xml:space="preserve"> INDEX( co_scalarInfo[scalarType], MATCH( scalarDataframe[[#This Row],[scalarName]], co_scalarInfo[scalarName], 0 ) )</f>
        <v>physAdj</v>
      </c>
      <c r="C1277" s="152" t="str">
        <f xml:space="preserve"> INDEX( co_scalarInfo[scalarLabel], MATCH( scalarDataframe[[#This Row],[scalarName]], co_scalarInfo[scalarName], 0 ) )</f>
        <v>MH Demographic Proportion Adjustment Factor</v>
      </c>
      <c r="D1277" s="24" t="s">
        <v>1316</v>
      </c>
      <c r="E1277" s="18" t="s">
        <v>12</v>
      </c>
      <c r="F1277" s="25">
        <v>2081</v>
      </c>
      <c r="G1277" s="26">
        <v>1.0454039226754299</v>
      </c>
    </row>
    <row r="1278" spans="1:7" x14ac:dyDescent="0.35">
      <c r="A1278" s="150">
        <f xml:space="preserve"> ROW( scalarDataframe[[#This Row],[row_id]] ) - ROW( scalarDataframe[[#Headers],[row_id]] )</f>
        <v>1277</v>
      </c>
      <c r="B1278" s="151" t="str">
        <f xml:space="preserve"> INDEX( co_scalarInfo[scalarType], MATCH( scalarDataframe[[#This Row],[scalarName]], co_scalarInfo[scalarName], 0 ) )</f>
        <v>physAdj</v>
      </c>
      <c r="C1278" s="152" t="str">
        <f xml:space="preserve"> INDEX( co_scalarInfo[scalarLabel], MATCH( scalarDataframe[[#This Row],[scalarName]], co_scalarInfo[scalarName], 0 ) )</f>
        <v>MH Demographic Proportion Adjustment Factor</v>
      </c>
      <c r="D1278" s="24" t="s">
        <v>1316</v>
      </c>
      <c r="E1278" s="18" t="s">
        <v>12</v>
      </c>
      <c r="F1278" s="25">
        <v>2082</v>
      </c>
      <c r="G1278" s="26">
        <v>1.04628887550521</v>
      </c>
    </row>
    <row r="1279" spans="1:7" x14ac:dyDescent="0.35">
      <c r="A1279" s="150">
        <f xml:space="preserve"> ROW( scalarDataframe[[#This Row],[row_id]] ) - ROW( scalarDataframe[[#Headers],[row_id]] )</f>
        <v>1278</v>
      </c>
      <c r="B1279" s="151" t="str">
        <f xml:space="preserve"> INDEX( co_scalarInfo[scalarType], MATCH( scalarDataframe[[#This Row],[scalarName]], co_scalarInfo[scalarName], 0 ) )</f>
        <v>physAdj</v>
      </c>
      <c r="C1279" s="152" t="str">
        <f xml:space="preserve"> INDEX( co_scalarInfo[scalarLabel], MATCH( scalarDataframe[[#This Row],[scalarName]], co_scalarInfo[scalarName], 0 ) )</f>
        <v>MH Demographic Proportion Adjustment Factor</v>
      </c>
      <c r="D1279" s="24" t="s">
        <v>1316</v>
      </c>
      <c r="E1279" s="18" t="s">
        <v>12</v>
      </c>
      <c r="F1279" s="25">
        <v>2087</v>
      </c>
      <c r="G1279" s="26">
        <v>1.05006497308035</v>
      </c>
    </row>
    <row r="1280" spans="1:7" x14ac:dyDescent="0.35">
      <c r="A1280" s="150">
        <f xml:space="preserve"> ROW( scalarDataframe[[#This Row],[row_id]] ) - ROW( scalarDataframe[[#Headers],[row_id]] )</f>
        <v>1279</v>
      </c>
      <c r="B1280" s="151" t="str">
        <f xml:space="preserve"> INDEX( co_scalarInfo[scalarType], MATCH( scalarDataframe[[#This Row],[scalarName]], co_scalarInfo[scalarName], 0 ) )</f>
        <v>physAdj</v>
      </c>
      <c r="C1280" s="152" t="str">
        <f xml:space="preserve"> INDEX( co_scalarInfo[scalarLabel], MATCH( scalarDataframe[[#This Row],[scalarName]], co_scalarInfo[scalarName], 0 ) )</f>
        <v>MH Demographic Proportion Adjustment Factor</v>
      </c>
      <c r="D1280" s="24" t="s">
        <v>1316</v>
      </c>
      <c r="E1280" s="18" t="s">
        <v>12</v>
      </c>
      <c r="F1280" s="25">
        <v>2091</v>
      </c>
      <c r="G1280" s="26">
        <v>1.0539505563562901</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74"/>
  <sheetViews>
    <sheetView zoomScale="85" zoomScaleNormal="85" workbookViewId="0">
      <pane ySplit="1" topLeftCell="A3038" activePane="bottomLeft" state="frozen"/>
      <selection activeCell="T393" sqref="T393"/>
      <selection pane="bottomLeft" activeCell="K3064" sqref="K3064"/>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3">
        <f xml:space="preserve"> ROW( data_scaledImpacts[[#This Row],[row_id]] ) - ROW( data_scaledImpacts[[#Headers],[row_id]] )</f>
        <v>2950</v>
      </c>
      <c r="B2951" s="41" t="str">
        <f xml:space="preserve"> _xlfn.TEXTJOIN( "", , data_scaledImpacts[[#This Row],[sector]:[impactType]] )</f>
        <v>VibrioCanESM21 N/ADirectMedCost</v>
      </c>
      <c r="C2951" s="33" t="s">
        <v>1306</v>
      </c>
      <c r="D2951" s="33" t="s">
        <v>0</v>
      </c>
      <c r="E2951" s="34">
        <v>1</v>
      </c>
      <c r="F2951" s="34" t="s">
        <v>1312</v>
      </c>
      <c r="G2951" s="34" t="s">
        <v>201</v>
      </c>
      <c r="H2951" s="35" t="s">
        <v>1309</v>
      </c>
      <c r="I2951" s="43"/>
      <c r="J2951" s="96"/>
      <c r="K2951" s="36">
        <v>5.2225659911051901E-2</v>
      </c>
      <c r="L2951" s="37"/>
      <c r="M2951" s="36">
        <v>7.07189450574153E-2</v>
      </c>
      <c r="N2951" s="36">
        <v>7.5526169493135398E-2</v>
      </c>
      <c r="O2951" s="36">
        <v>3.2717511294293303E-2</v>
      </c>
      <c r="P2951" s="110">
        <v>6.4423688318928996E-3</v>
      </c>
    </row>
    <row r="2952" spans="1:16" x14ac:dyDescent="0.35">
      <c r="A2952" s="3">
        <f xml:space="preserve"> ROW( data_scaledImpacts[[#This Row],[row_id]] ) - ROW( data_scaledImpacts[[#Headers],[row_id]] )</f>
        <v>2951</v>
      </c>
      <c r="B2952" s="41" t="str">
        <f xml:space="preserve"> _xlfn.TEXTJOIN( "", , data_scaledImpacts[[#This Row],[sector]:[impactType]] )</f>
        <v>VibrioCanESM22 N/ADirectMedCost</v>
      </c>
      <c r="C2952" s="33" t="s">
        <v>1306</v>
      </c>
      <c r="D2952" s="33" t="s">
        <v>0</v>
      </c>
      <c r="E2952" s="34">
        <v>2</v>
      </c>
      <c r="F2952" s="34" t="s">
        <v>1312</v>
      </c>
      <c r="G2952" s="34" t="s">
        <v>201</v>
      </c>
      <c r="H2952" s="35" t="s">
        <v>1309</v>
      </c>
      <c r="I2952" s="43"/>
      <c r="J2952" s="96"/>
      <c r="K2952" s="36">
        <v>9.0596148887293296E-2</v>
      </c>
      <c r="L2952" s="37"/>
      <c r="M2952" s="36">
        <v>0.14221949295678701</v>
      </c>
      <c r="N2952" s="36">
        <v>0.142823796998858</v>
      </c>
      <c r="O2952" s="36">
        <v>5.5894405260931597E-2</v>
      </c>
      <c r="P2952" s="110">
        <v>1.5548578396888999E-2</v>
      </c>
    </row>
    <row r="2953" spans="1:16" x14ac:dyDescent="0.35">
      <c r="A2953" s="3">
        <f xml:space="preserve"> ROW( data_scaledImpacts[[#This Row],[row_id]] ) - ROW( data_scaledImpacts[[#Headers],[row_id]] )</f>
        <v>2952</v>
      </c>
      <c r="B2953" s="41" t="str">
        <f xml:space="preserve"> _xlfn.TEXTJOIN( "", , data_scaledImpacts[[#This Row],[sector]:[impactType]] )</f>
        <v>VibrioCanESM23 N/ADirectMedCost</v>
      </c>
      <c r="C2953" s="33" t="s">
        <v>1306</v>
      </c>
      <c r="D2953" s="33" t="s">
        <v>0</v>
      </c>
      <c r="E2953" s="34">
        <v>3</v>
      </c>
      <c r="F2953" s="34" t="s">
        <v>1312</v>
      </c>
      <c r="G2953" s="34" t="s">
        <v>201</v>
      </c>
      <c r="H2953" s="35" t="s">
        <v>1309</v>
      </c>
      <c r="I2953" s="43"/>
      <c r="J2953" s="96"/>
      <c r="K2953" s="36">
        <v>0.12857621760747401</v>
      </c>
      <c r="L2953" s="37"/>
      <c r="M2953" s="36">
        <v>0.25368041063784802</v>
      </c>
      <c r="N2953" s="36">
        <v>0.19784587160130901</v>
      </c>
      <c r="O2953" s="36">
        <v>7.9060656879439195E-2</v>
      </c>
      <c r="P2953" s="110">
        <v>2.14909342413672E-2</v>
      </c>
    </row>
    <row r="2954" spans="1:16" x14ac:dyDescent="0.35">
      <c r="A2954" s="3">
        <f xml:space="preserve"> ROW( data_scaledImpacts[[#This Row],[row_id]] ) - ROW( data_scaledImpacts[[#Headers],[row_id]] )</f>
        <v>2953</v>
      </c>
      <c r="B2954" s="41" t="str">
        <f xml:space="preserve"> _xlfn.TEXTJOIN( "", , data_scaledImpacts[[#This Row],[sector]:[impactType]] )</f>
        <v>VibrioCanESM24 N/ADirectMedCost</v>
      </c>
      <c r="C2954" s="33" t="s">
        <v>1306</v>
      </c>
      <c r="D2954" s="33" t="s">
        <v>0</v>
      </c>
      <c r="E2954" s="34">
        <v>4</v>
      </c>
      <c r="F2954" s="34" t="s">
        <v>1312</v>
      </c>
      <c r="G2954" s="34" t="s">
        <v>201</v>
      </c>
      <c r="H2954" s="35" t="s">
        <v>1309</v>
      </c>
      <c r="I2954" s="43"/>
      <c r="J2954" s="96"/>
      <c r="K2954" s="36">
        <v>0.18218963766920401</v>
      </c>
      <c r="L2954" s="37"/>
      <c r="M2954" s="36">
        <v>0.38388845596726201</v>
      </c>
      <c r="N2954" s="36">
        <v>0.26433447459373699</v>
      </c>
      <c r="O2954" s="36">
        <v>0.105829156090449</v>
      </c>
      <c r="P2954" s="110">
        <v>3.1660775603402302E-2</v>
      </c>
    </row>
    <row r="2955" spans="1:16" x14ac:dyDescent="0.35">
      <c r="A2955" s="3">
        <f xml:space="preserve"> ROW( data_scaledImpacts[[#This Row],[row_id]] ) - ROW( data_scaledImpacts[[#Headers],[row_id]] )</f>
        <v>2954</v>
      </c>
      <c r="B2955" s="41" t="str">
        <f xml:space="preserve"> _xlfn.TEXTJOIN( "", , data_scaledImpacts[[#This Row],[sector]:[impactType]] )</f>
        <v>VibrioCanESM25 N/ADirectMedCost</v>
      </c>
      <c r="C2955" s="33" t="s">
        <v>1306</v>
      </c>
      <c r="D2955" s="33" t="s">
        <v>0</v>
      </c>
      <c r="E2955" s="34">
        <v>5</v>
      </c>
      <c r="F2955" s="34" t="s">
        <v>1312</v>
      </c>
      <c r="G2955" s="34" t="s">
        <v>201</v>
      </c>
      <c r="H2955" s="35" t="s">
        <v>1309</v>
      </c>
      <c r="I2955" s="43"/>
      <c r="J2955" s="96"/>
      <c r="K2955" s="36">
        <v>0.23257200037467299</v>
      </c>
      <c r="L2955" s="37"/>
      <c r="M2955" s="36">
        <v>0.51312499807749101</v>
      </c>
      <c r="N2955" s="36">
        <v>0.318046338709083</v>
      </c>
      <c r="O2955" s="36">
        <v>0.117658834370785</v>
      </c>
      <c r="P2955" s="110">
        <v>3.9923752925800103E-2</v>
      </c>
    </row>
    <row r="2956" spans="1:16" x14ac:dyDescent="0.35">
      <c r="A2956" s="3">
        <f xml:space="preserve"> ROW( data_scaledImpacts[[#This Row],[row_id]] ) - ROW( data_scaledImpacts[[#Headers],[row_id]] )</f>
        <v>2955</v>
      </c>
      <c r="B2956" s="41" t="str">
        <f xml:space="preserve"> _xlfn.TEXTJOIN( "", , data_scaledImpacts[[#This Row],[sector]:[impactType]] )</f>
        <v>VibrioCanESM26 N/ADirectMedCost</v>
      </c>
      <c r="C2956" s="33" t="s">
        <v>1306</v>
      </c>
      <c r="D2956" s="33" t="s">
        <v>0</v>
      </c>
      <c r="E2956" s="34">
        <v>6</v>
      </c>
      <c r="F2956" s="34" t="s">
        <v>1312</v>
      </c>
      <c r="G2956" s="34" t="s">
        <v>201</v>
      </c>
      <c r="H2956" s="35" t="s">
        <v>1309</v>
      </c>
      <c r="I2956" s="43"/>
      <c r="J2956" s="96"/>
      <c r="K2956" s="36">
        <v>0.29537998267988902</v>
      </c>
      <c r="L2956" s="37"/>
      <c r="M2956" s="36">
        <v>0.66971260786696996</v>
      </c>
      <c r="N2956" s="36">
        <v>0.40653815942678301</v>
      </c>
      <c r="O2956" s="36">
        <v>0.15167932824303701</v>
      </c>
      <c r="P2956" s="110">
        <v>5.2521220342704698E-2</v>
      </c>
    </row>
    <row r="2957" spans="1:16" x14ac:dyDescent="0.35">
      <c r="A2957" s="3">
        <f xml:space="preserve"> ROW( data_scaledImpacts[[#This Row],[row_id]] ) - ROW( data_scaledImpacts[[#Headers],[row_id]] )</f>
        <v>2956</v>
      </c>
      <c r="B2957" s="41" t="str">
        <f xml:space="preserve"> _xlfn.TEXTJOIN( "", , data_scaledImpacts[[#This Row],[sector]:[impactType]] )</f>
        <v>VibrioCCSM41 N/ADirectMedCost</v>
      </c>
      <c r="C2957" s="33" t="s">
        <v>1306</v>
      </c>
      <c r="D2957" s="33" t="s">
        <v>1</v>
      </c>
      <c r="E2957" s="34">
        <v>1</v>
      </c>
      <c r="F2957" s="34" t="s">
        <v>1312</v>
      </c>
      <c r="G2957" s="34" t="s">
        <v>201</v>
      </c>
      <c r="H2957" s="35" t="s">
        <v>1309</v>
      </c>
      <c r="I2957" s="43"/>
      <c r="J2957" s="96"/>
      <c r="K2957" s="36">
        <v>3.1498655469889898E-2</v>
      </c>
      <c r="L2957" s="37"/>
      <c r="M2957" s="36">
        <v>4.5419796673678403E-2</v>
      </c>
      <c r="N2957" s="36">
        <v>5.9617614316604998E-2</v>
      </c>
      <c r="O2957" s="36">
        <v>3.3992727089240997E-2</v>
      </c>
      <c r="P2957" s="110">
        <v>6.1706323698979496E-3</v>
      </c>
    </row>
    <row r="2958" spans="1:16" x14ac:dyDescent="0.35">
      <c r="A2958" s="3">
        <f xml:space="preserve"> ROW( data_scaledImpacts[[#This Row],[row_id]] ) - ROW( data_scaledImpacts[[#Headers],[row_id]] )</f>
        <v>2957</v>
      </c>
      <c r="B2958" s="41" t="str">
        <f xml:space="preserve"> _xlfn.TEXTJOIN( "", , data_scaledImpacts[[#This Row],[sector]:[impactType]] )</f>
        <v>VibrioCCSM42 N/ADirectMedCost</v>
      </c>
      <c r="C2958" s="33" t="s">
        <v>1306</v>
      </c>
      <c r="D2958" s="33" t="s">
        <v>1</v>
      </c>
      <c r="E2958" s="34">
        <v>2</v>
      </c>
      <c r="F2958" s="34" t="s">
        <v>1312</v>
      </c>
      <c r="G2958" s="34" t="s">
        <v>201</v>
      </c>
      <c r="H2958" s="35" t="s">
        <v>1309</v>
      </c>
      <c r="I2958" s="43"/>
      <c r="J2958" s="96"/>
      <c r="K2958" s="36">
        <v>6.07576648043495E-2</v>
      </c>
      <c r="L2958" s="37"/>
      <c r="M2958" s="36">
        <v>9.4366906690672894E-2</v>
      </c>
      <c r="N2958" s="36">
        <v>0.107918164004474</v>
      </c>
      <c r="O2958" s="36">
        <v>4.62283180598662E-2</v>
      </c>
      <c r="P2958" s="110">
        <v>1.1202625420648401E-2</v>
      </c>
    </row>
    <row r="2959" spans="1:16" x14ac:dyDescent="0.35">
      <c r="A2959" s="3">
        <f xml:space="preserve"> ROW( data_scaledImpacts[[#This Row],[row_id]] ) - ROW( data_scaledImpacts[[#Headers],[row_id]] )</f>
        <v>2958</v>
      </c>
      <c r="B2959" s="41" t="str">
        <f xml:space="preserve"> _xlfn.TEXTJOIN( "", , data_scaledImpacts[[#This Row],[sector]:[impactType]] )</f>
        <v>VibrioCCSM43 N/ADirectMedCost</v>
      </c>
      <c r="C2959" s="33" t="s">
        <v>1306</v>
      </c>
      <c r="D2959" s="33" t="s">
        <v>1</v>
      </c>
      <c r="E2959" s="34">
        <v>3</v>
      </c>
      <c r="F2959" s="34" t="s">
        <v>1312</v>
      </c>
      <c r="G2959" s="34" t="s">
        <v>201</v>
      </c>
      <c r="H2959" s="35" t="s">
        <v>1309</v>
      </c>
      <c r="I2959" s="43"/>
      <c r="J2959" s="96"/>
      <c r="K2959" s="36">
        <v>0.102055804410092</v>
      </c>
      <c r="L2959" s="37"/>
      <c r="M2959" s="36">
        <v>0.169397901118958</v>
      </c>
      <c r="N2959" s="36">
        <v>0.18000001397030399</v>
      </c>
      <c r="O2959" s="36">
        <v>7.3368415172153797E-2</v>
      </c>
      <c r="P2959" s="110">
        <v>1.45238224962554E-2</v>
      </c>
    </row>
    <row r="2960" spans="1:16" x14ac:dyDescent="0.35">
      <c r="A2960" s="3">
        <f xml:space="preserve"> ROW( data_scaledImpacts[[#This Row],[row_id]] ) - ROW( data_scaledImpacts[[#Headers],[row_id]] )</f>
        <v>2959</v>
      </c>
      <c r="B2960" s="41" t="str">
        <f xml:space="preserve"> _xlfn.TEXTJOIN( "", , data_scaledImpacts[[#This Row],[sector]:[impactType]] )</f>
        <v>VibrioCCSM44 N/ADirectMedCost</v>
      </c>
      <c r="C2960" s="33" t="s">
        <v>1306</v>
      </c>
      <c r="D2960" s="33" t="s">
        <v>1</v>
      </c>
      <c r="E2960" s="34">
        <v>4</v>
      </c>
      <c r="F2960" s="34" t="s">
        <v>1312</v>
      </c>
      <c r="G2960" s="34" t="s">
        <v>201</v>
      </c>
      <c r="H2960" s="35" t="s">
        <v>1309</v>
      </c>
      <c r="I2960" s="43"/>
      <c r="J2960" s="96"/>
      <c r="K2960" s="36">
        <v>0.13205437797385899</v>
      </c>
      <c r="L2960" s="37"/>
      <c r="M2960" s="36">
        <v>0.26872850528195702</v>
      </c>
      <c r="N2960" s="36">
        <v>0.22712181721404401</v>
      </c>
      <c r="O2960" s="36">
        <v>8.7412545803866495E-2</v>
      </c>
      <c r="P2960" s="110">
        <v>2.28002680510127E-2</v>
      </c>
    </row>
    <row r="2961" spans="1:16" x14ac:dyDescent="0.35">
      <c r="A2961" s="3">
        <f xml:space="preserve"> ROW( data_scaledImpacts[[#This Row],[row_id]] ) - ROW( data_scaledImpacts[[#Headers],[row_id]] )</f>
        <v>2960</v>
      </c>
      <c r="B2961" s="41" t="str">
        <f xml:space="preserve"> _xlfn.TEXTJOIN( "", , data_scaledImpacts[[#This Row],[sector]:[impactType]] )</f>
        <v>VibrioCCSM45 N/ADirectMedCost</v>
      </c>
      <c r="C2961" s="33" t="s">
        <v>1306</v>
      </c>
      <c r="D2961" s="33" t="s">
        <v>1</v>
      </c>
      <c r="E2961" s="34">
        <v>5</v>
      </c>
      <c r="F2961" s="34" t="s">
        <v>1312</v>
      </c>
      <c r="G2961" s="34" t="s">
        <v>201</v>
      </c>
      <c r="H2961" s="35" t="s">
        <v>1309</v>
      </c>
      <c r="I2961" s="43"/>
      <c r="J2961" s="96"/>
      <c r="K2961" s="36">
        <v>0.17070416962971399</v>
      </c>
      <c r="L2961" s="37"/>
      <c r="M2961" s="36">
        <v>0.31591497061275498</v>
      </c>
      <c r="N2961" s="36">
        <v>0.30992862176293201</v>
      </c>
      <c r="O2961" s="36">
        <v>0.12507037212287</v>
      </c>
      <c r="P2961" s="110">
        <v>2.3371830657491401E-2</v>
      </c>
    </row>
    <row r="2962" spans="1:16" x14ac:dyDescent="0.35">
      <c r="A2962" s="3">
        <f xml:space="preserve"> ROW( data_scaledImpacts[[#This Row],[row_id]] ) - ROW( data_scaledImpacts[[#Headers],[row_id]] )</f>
        <v>2961</v>
      </c>
      <c r="B2962" s="41" t="str">
        <f xml:space="preserve"> _xlfn.TEXTJOIN( "", , data_scaledImpacts[[#This Row],[sector]:[impactType]] )</f>
        <v>VibrioGFDL-CM31 N/ADirectMedCost</v>
      </c>
      <c r="C2962" s="33" t="s">
        <v>1306</v>
      </c>
      <c r="D2962" s="33" t="s">
        <v>5</v>
      </c>
      <c r="E2962" s="34">
        <v>1</v>
      </c>
      <c r="F2962" s="34" t="s">
        <v>1312</v>
      </c>
      <c r="G2962" s="34" t="s">
        <v>201</v>
      </c>
      <c r="H2962" s="35" t="s">
        <v>1309</v>
      </c>
      <c r="I2962" s="43"/>
      <c r="J2962" s="96"/>
      <c r="K2962" s="36">
        <v>5.6952370161796301E-2</v>
      </c>
      <c r="L2962" s="37"/>
      <c r="M2962" s="36">
        <v>4.7860235589361699E-2</v>
      </c>
      <c r="N2962" s="36">
        <v>9.3525445843564994E-2</v>
      </c>
      <c r="O2962" s="36">
        <v>4.86319803805896E-2</v>
      </c>
      <c r="P2962" s="110">
        <v>6.3558829616814196E-3</v>
      </c>
    </row>
    <row r="2963" spans="1:16" x14ac:dyDescent="0.35">
      <c r="A2963" s="3">
        <f xml:space="preserve"> ROW( data_scaledImpacts[[#This Row],[row_id]] ) - ROW( data_scaledImpacts[[#Headers],[row_id]] )</f>
        <v>2962</v>
      </c>
      <c r="B2963" s="41" t="str">
        <f xml:space="preserve"> _xlfn.TEXTJOIN( "", , data_scaledImpacts[[#This Row],[sector]:[impactType]] )</f>
        <v>VibrioGFDL-CM32 N/ADirectMedCost</v>
      </c>
      <c r="C2963" s="33" t="s">
        <v>1306</v>
      </c>
      <c r="D2963" s="33" t="s">
        <v>5</v>
      </c>
      <c r="E2963" s="34">
        <v>2</v>
      </c>
      <c r="F2963" s="34" t="s">
        <v>1312</v>
      </c>
      <c r="G2963" s="34" t="s">
        <v>201</v>
      </c>
      <c r="H2963" s="35" t="s">
        <v>1309</v>
      </c>
      <c r="I2963" s="43"/>
      <c r="J2963" s="96"/>
      <c r="K2963" s="36">
        <v>9.0157421128498796E-2</v>
      </c>
      <c r="L2963" s="37"/>
      <c r="M2963" s="36">
        <v>0.10510598183339</v>
      </c>
      <c r="N2963" s="36">
        <v>0.16228830365882399</v>
      </c>
      <c r="O2963" s="36">
        <v>7.5288542485183602E-2</v>
      </c>
      <c r="P2963" s="110">
        <v>1.1724345606542E-2</v>
      </c>
    </row>
    <row r="2964" spans="1:16" x14ac:dyDescent="0.35">
      <c r="A2964" s="3">
        <f xml:space="preserve"> ROW( data_scaledImpacts[[#This Row],[row_id]] ) - ROW( data_scaledImpacts[[#Headers],[row_id]] )</f>
        <v>2963</v>
      </c>
      <c r="B2964" s="41" t="str">
        <f xml:space="preserve"> _xlfn.TEXTJOIN( "", , data_scaledImpacts[[#This Row],[sector]:[impactType]] )</f>
        <v>VibrioGFDL-CM33 N/ADirectMedCost</v>
      </c>
      <c r="C2964" s="33" t="s">
        <v>1306</v>
      </c>
      <c r="D2964" s="33" t="s">
        <v>5</v>
      </c>
      <c r="E2964" s="34">
        <v>3</v>
      </c>
      <c r="F2964" s="34" t="s">
        <v>1312</v>
      </c>
      <c r="G2964" s="34" t="s">
        <v>201</v>
      </c>
      <c r="H2964" s="35" t="s">
        <v>1309</v>
      </c>
      <c r="I2964" s="43"/>
      <c r="J2964" s="96"/>
      <c r="K2964" s="36">
        <v>0.147578111983343</v>
      </c>
      <c r="L2964" s="37"/>
      <c r="M2964" s="36">
        <v>0.19754707956849801</v>
      </c>
      <c r="N2964" s="36">
        <v>0.23076185958099199</v>
      </c>
      <c r="O2964" s="36">
        <v>0.10343550618613299</v>
      </c>
      <c r="P2964" s="110">
        <v>1.97501228993298E-2</v>
      </c>
    </row>
    <row r="2965" spans="1:16" x14ac:dyDescent="0.35">
      <c r="A2965" s="3">
        <f xml:space="preserve"> ROW( data_scaledImpacts[[#This Row],[row_id]] ) - ROW( data_scaledImpacts[[#Headers],[row_id]] )</f>
        <v>2964</v>
      </c>
      <c r="B2965" s="41" t="str">
        <f xml:space="preserve"> _xlfn.TEXTJOIN( "", , data_scaledImpacts[[#This Row],[sector]:[impactType]] )</f>
        <v>VibrioGFDL-CM34 N/ADirectMedCost</v>
      </c>
      <c r="C2965" s="33" t="s">
        <v>1306</v>
      </c>
      <c r="D2965" s="33" t="s">
        <v>5</v>
      </c>
      <c r="E2965" s="34">
        <v>4</v>
      </c>
      <c r="F2965" s="34" t="s">
        <v>1312</v>
      </c>
      <c r="G2965" s="34" t="s">
        <v>201</v>
      </c>
      <c r="H2965" s="35" t="s">
        <v>1309</v>
      </c>
      <c r="I2965" s="43"/>
      <c r="J2965" s="96"/>
      <c r="K2965" s="36">
        <v>0.200270975441384</v>
      </c>
      <c r="L2965" s="37"/>
      <c r="M2965" s="36">
        <v>0.26532532958643101</v>
      </c>
      <c r="N2965" s="36">
        <v>0.31622203629190199</v>
      </c>
      <c r="O2965" s="36">
        <v>0.131986519204675</v>
      </c>
      <c r="P2965" s="110">
        <v>2.6575711513813001E-2</v>
      </c>
    </row>
    <row r="2966" spans="1:16" x14ac:dyDescent="0.35">
      <c r="A2966" s="3">
        <f xml:space="preserve"> ROW( data_scaledImpacts[[#This Row],[row_id]] ) - ROW( data_scaledImpacts[[#Headers],[row_id]] )</f>
        <v>2965</v>
      </c>
      <c r="B2966" s="41" t="str">
        <f xml:space="preserve"> _xlfn.TEXTJOIN( "", , data_scaledImpacts[[#This Row],[sector]:[impactType]] )</f>
        <v>VibrioGFDL-CM35 N/ADirectMedCost</v>
      </c>
      <c r="C2966" s="33" t="s">
        <v>1306</v>
      </c>
      <c r="D2966" s="33" t="s">
        <v>5</v>
      </c>
      <c r="E2966" s="34">
        <v>5</v>
      </c>
      <c r="F2966" s="34" t="s">
        <v>1312</v>
      </c>
      <c r="G2966" s="34" t="s">
        <v>201</v>
      </c>
      <c r="H2966" s="35" t="s">
        <v>1309</v>
      </c>
      <c r="I2966" s="43"/>
      <c r="J2966" s="96"/>
      <c r="K2966" s="36">
        <v>0.23639599232560099</v>
      </c>
      <c r="L2966" s="37"/>
      <c r="M2966" s="36">
        <v>0.296447209110828</v>
      </c>
      <c r="N2966" s="36">
        <v>0.37943629939101797</v>
      </c>
      <c r="O2966" s="36">
        <v>0.15353779699120099</v>
      </c>
      <c r="P2966" s="110">
        <v>3.2201168521261703E-2</v>
      </c>
    </row>
    <row r="2967" spans="1:16" x14ac:dyDescent="0.35">
      <c r="A2967" s="3">
        <f xml:space="preserve"> ROW( data_scaledImpacts[[#This Row],[row_id]] ) - ROW( data_scaledImpacts[[#Headers],[row_id]] )</f>
        <v>2966</v>
      </c>
      <c r="B2967" s="41" t="str">
        <f xml:space="preserve"> _xlfn.TEXTJOIN( "", , data_scaledImpacts[[#This Row],[sector]:[impactType]] )</f>
        <v>VibrioGFDL-CM36 N/ADirectMedCost</v>
      </c>
      <c r="C2967" s="33" t="s">
        <v>1306</v>
      </c>
      <c r="D2967" s="33" t="s">
        <v>5</v>
      </c>
      <c r="E2967" s="34">
        <v>6</v>
      </c>
      <c r="F2967" s="34" t="s">
        <v>1312</v>
      </c>
      <c r="G2967" s="34" t="s">
        <v>201</v>
      </c>
      <c r="H2967" s="35" t="s">
        <v>1309</v>
      </c>
      <c r="I2967" s="43"/>
      <c r="J2967" s="96"/>
      <c r="K2967" s="36">
        <v>0.30578576595627999</v>
      </c>
      <c r="L2967" s="37"/>
      <c r="M2967" s="36">
        <v>0.44465607931419998</v>
      </c>
      <c r="N2967" s="36">
        <v>0.46767116749594001</v>
      </c>
      <c r="O2967" s="36">
        <v>0.18907632136323901</v>
      </c>
      <c r="P2967" s="110">
        <v>3.9923872378478602E-2</v>
      </c>
    </row>
    <row r="2968" spans="1:16" x14ac:dyDescent="0.35">
      <c r="A2968" s="3">
        <f xml:space="preserve"> ROW( data_scaledImpacts[[#This Row],[row_id]] ) - ROW( data_scaledImpacts[[#Headers],[row_id]] )</f>
        <v>2967</v>
      </c>
      <c r="B2968" s="41" t="str">
        <f xml:space="preserve"> _xlfn.TEXTJOIN( "", , data_scaledImpacts[[#This Row],[sector]:[impactType]] )</f>
        <v>VibrioGISS-E2-R1 N/ADirectMedCost</v>
      </c>
      <c r="C2968" s="33" t="s">
        <v>1306</v>
      </c>
      <c r="D2968" s="33" t="s">
        <v>2</v>
      </c>
      <c r="E2968" s="34">
        <v>1</v>
      </c>
      <c r="F2968" s="34" t="s">
        <v>1312</v>
      </c>
      <c r="G2968" s="34" t="s">
        <v>201</v>
      </c>
      <c r="H2968" s="35" t="s">
        <v>1309</v>
      </c>
      <c r="I2968" s="43"/>
      <c r="J2968" s="96"/>
      <c r="K2968" s="36">
        <v>3.8903727162993097E-2</v>
      </c>
      <c r="L2968" s="37"/>
      <c r="M2968" s="36">
        <v>5.6035270793954699E-2</v>
      </c>
      <c r="N2968" s="36">
        <v>7.0073147824776E-2</v>
      </c>
      <c r="O2968" s="36">
        <v>2.9593812167531101E-2</v>
      </c>
      <c r="P2968" s="110">
        <v>6.1383928054070799E-3</v>
      </c>
    </row>
    <row r="2969" spans="1:16" x14ac:dyDescent="0.35">
      <c r="A2969" s="3">
        <f xml:space="preserve"> ROW( data_scaledImpacts[[#This Row],[row_id]] ) - ROW( data_scaledImpacts[[#Headers],[row_id]] )</f>
        <v>2968</v>
      </c>
      <c r="B2969" s="41" t="str">
        <f xml:space="preserve"> _xlfn.TEXTJOIN( "", , data_scaledImpacts[[#This Row],[sector]:[impactType]] )</f>
        <v>VibrioGISS-E2-R2 N/ADirectMedCost</v>
      </c>
      <c r="C2969" s="33" t="s">
        <v>1306</v>
      </c>
      <c r="D2969" s="33" t="s">
        <v>2</v>
      </c>
      <c r="E2969" s="34">
        <v>2</v>
      </c>
      <c r="F2969" s="34" t="s">
        <v>1312</v>
      </c>
      <c r="G2969" s="34" t="s">
        <v>201</v>
      </c>
      <c r="H2969" s="35" t="s">
        <v>1309</v>
      </c>
      <c r="I2969" s="43"/>
      <c r="J2969" s="96"/>
      <c r="K2969" s="36">
        <v>5.7769268284513897E-2</v>
      </c>
      <c r="L2969" s="37"/>
      <c r="M2969" s="36">
        <v>0.10529006727880399</v>
      </c>
      <c r="N2969" s="36">
        <v>0.13701596203220401</v>
      </c>
      <c r="O2969" s="36">
        <v>5.0208749079081398E-2</v>
      </c>
      <c r="P2969" s="110">
        <v>1.18759149137087E-2</v>
      </c>
    </row>
    <row r="2970" spans="1:16" x14ac:dyDescent="0.35">
      <c r="A2970" s="3">
        <f xml:space="preserve"> ROW( data_scaledImpacts[[#This Row],[row_id]] ) - ROW( data_scaledImpacts[[#Headers],[row_id]] )</f>
        <v>2969</v>
      </c>
      <c r="B2970" s="41" t="str">
        <f xml:space="preserve"> _xlfn.TEXTJOIN( "", , data_scaledImpacts[[#This Row],[sector]:[impactType]] )</f>
        <v>VibrioGISS-E2-R3 N/ADirectMedCost</v>
      </c>
      <c r="C2970" s="33" t="s">
        <v>1306</v>
      </c>
      <c r="D2970" s="33" t="s">
        <v>2</v>
      </c>
      <c r="E2970" s="34">
        <v>3</v>
      </c>
      <c r="F2970" s="34" t="s">
        <v>1312</v>
      </c>
      <c r="G2970" s="34" t="s">
        <v>201</v>
      </c>
      <c r="H2970" s="35" t="s">
        <v>1309</v>
      </c>
      <c r="I2970" s="43"/>
      <c r="J2970" s="96"/>
      <c r="K2970" s="36">
        <v>0.109069165723975</v>
      </c>
      <c r="L2970" s="37"/>
      <c r="M2970" s="36">
        <v>0.13252921755042801</v>
      </c>
      <c r="N2970" s="36">
        <v>0.200983316090869</v>
      </c>
      <c r="O2970" s="36">
        <v>6.6303827377781302E-2</v>
      </c>
      <c r="P2970" s="110">
        <v>1.551462745677E-2</v>
      </c>
    </row>
    <row r="2971" spans="1:16" x14ac:dyDescent="0.35">
      <c r="A2971" s="3">
        <f xml:space="preserve"> ROW( data_scaledImpacts[[#This Row],[row_id]] ) - ROW( data_scaledImpacts[[#Headers],[row_id]] )</f>
        <v>2970</v>
      </c>
      <c r="B2971" s="41" t="str">
        <f xml:space="preserve"> _xlfn.TEXTJOIN( "", , data_scaledImpacts[[#This Row],[sector]:[impactType]] )</f>
        <v>VibrioHadGEM2-ES1 N/ADirectMedCost</v>
      </c>
      <c r="C2971" s="33" t="s">
        <v>1306</v>
      </c>
      <c r="D2971" s="33" t="s">
        <v>3</v>
      </c>
      <c r="E2971" s="34">
        <v>1</v>
      </c>
      <c r="F2971" s="34" t="s">
        <v>1312</v>
      </c>
      <c r="G2971" s="34" t="s">
        <v>201</v>
      </c>
      <c r="H2971" s="35" t="s">
        <v>1309</v>
      </c>
      <c r="I2971" s="43"/>
      <c r="J2971" s="96"/>
      <c r="K2971" s="36">
        <v>3.7538570749157001E-2</v>
      </c>
      <c r="L2971" s="37"/>
      <c r="M2971" s="36">
        <v>7.8662412303669604E-2</v>
      </c>
      <c r="N2971" s="36">
        <v>0.105029108560152</v>
      </c>
      <c r="O2971" s="36">
        <v>3.8646168938945402E-2</v>
      </c>
      <c r="P2971" s="110">
        <v>4.4350725069278799E-3</v>
      </c>
    </row>
    <row r="2972" spans="1:16" x14ac:dyDescent="0.35">
      <c r="A2972" s="3">
        <f xml:space="preserve"> ROW( data_scaledImpacts[[#This Row],[row_id]] ) - ROW( data_scaledImpacts[[#Headers],[row_id]] )</f>
        <v>2971</v>
      </c>
      <c r="B2972" s="41" t="str">
        <f xml:space="preserve"> _xlfn.TEXTJOIN( "", , data_scaledImpacts[[#This Row],[sector]:[impactType]] )</f>
        <v>VibrioHadGEM2-ES2 N/ADirectMedCost</v>
      </c>
      <c r="C2972" s="33" t="s">
        <v>1306</v>
      </c>
      <c r="D2972" s="33" t="s">
        <v>3</v>
      </c>
      <c r="E2972" s="34">
        <v>2</v>
      </c>
      <c r="F2972" s="34" t="s">
        <v>1312</v>
      </c>
      <c r="G2972" s="34" t="s">
        <v>201</v>
      </c>
      <c r="H2972" s="35" t="s">
        <v>1309</v>
      </c>
      <c r="I2972" s="43"/>
      <c r="J2972" s="96"/>
      <c r="K2972" s="36">
        <v>7.3291266429389698E-2</v>
      </c>
      <c r="L2972" s="37"/>
      <c r="M2972" s="36">
        <v>0.11868259018989499</v>
      </c>
      <c r="N2972" s="36">
        <v>0.15095300023057301</v>
      </c>
      <c r="O2972" s="36">
        <v>6.8786106911523703E-2</v>
      </c>
      <c r="P2972" s="110">
        <v>1.08008291649849E-2</v>
      </c>
    </row>
    <row r="2973" spans="1:16" x14ac:dyDescent="0.35">
      <c r="A2973" s="3">
        <f xml:space="preserve"> ROW( data_scaledImpacts[[#This Row],[row_id]] ) - ROW( data_scaledImpacts[[#Headers],[row_id]] )</f>
        <v>2972</v>
      </c>
      <c r="B2973" s="41" t="str">
        <f xml:space="preserve"> _xlfn.TEXTJOIN( "", , data_scaledImpacts[[#This Row],[sector]:[impactType]] )</f>
        <v>VibrioHadGEM2-ES3 N/ADirectMedCost</v>
      </c>
      <c r="C2973" s="33" t="s">
        <v>1306</v>
      </c>
      <c r="D2973" s="33" t="s">
        <v>3</v>
      </c>
      <c r="E2973" s="34">
        <v>3</v>
      </c>
      <c r="F2973" s="34" t="s">
        <v>1312</v>
      </c>
      <c r="G2973" s="34" t="s">
        <v>201</v>
      </c>
      <c r="H2973" s="35" t="s">
        <v>1309</v>
      </c>
      <c r="I2973" s="43"/>
      <c r="J2973" s="96"/>
      <c r="K2973" s="36">
        <v>0.11173538889446701</v>
      </c>
      <c r="L2973" s="37"/>
      <c r="M2973" s="36">
        <v>0.169069007100553</v>
      </c>
      <c r="N2973" s="36">
        <v>0.22170116820170499</v>
      </c>
      <c r="O2973" s="36">
        <v>8.2264230512426401E-2</v>
      </c>
      <c r="P2973" s="110">
        <v>1.5181778633665099E-2</v>
      </c>
    </row>
    <row r="2974" spans="1:16" x14ac:dyDescent="0.35">
      <c r="A2974" s="3">
        <f xml:space="preserve"> ROW( data_scaledImpacts[[#This Row],[row_id]] ) - ROW( data_scaledImpacts[[#Headers],[row_id]] )</f>
        <v>2973</v>
      </c>
      <c r="B2974" s="41" t="str">
        <f xml:space="preserve"> _xlfn.TEXTJOIN( "", , data_scaledImpacts[[#This Row],[sector]:[impactType]] )</f>
        <v>VibrioHadGEM2-ES4 N/ADirectMedCost</v>
      </c>
      <c r="C2974" s="33" t="s">
        <v>1306</v>
      </c>
      <c r="D2974" s="33" t="s">
        <v>3</v>
      </c>
      <c r="E2974" s="34">
        <v>4</v>
      </c>
      <c r="F2974" s="34" t="s">
        <v>1312</v>
      </c>
      <c r="G2974" s="34" t="s">
        <v>201</v>
      </c>
      <c r="H2974" s="35" t="s">
        <v>1309</v>
      </c>
      <c r="I2974" s="43"/>
      <c r="J2974" s="96"/>
      <c r="K2974" s="36">
        <v>0.15549061487535401</v>
      </c>
      <c r="L2974" s="37"/>
      <c r="M2974" s="36">
        <v>0.28483292393920201</v>
      </c>
      <c r="N2974" s="36">
        <v>0.27999781284021802</v>
      </c>
      <c r="O2974" s="36">
        <v>0.100585938412302</v>
      </c>
      <c r="P2974" s="110">
        <v>2.6057829865636199E-2</v>
      </c>
    </row>
    <row r="2975" spans="1:16" x14ac:dyDescent="0.35">
      <c r="A2975" s="3">
        <f xml:space="preserve"> ROW( data_scaledImpacts[[#This Row],[row_id]] ) - ROW( data_scaledImpacts[[#Headers],[row_id]] )</f>
        <v>2974</v>
      </c>
      <c r="B2975" s="41" t="str">
        <f xml:space="preserve"> _xlfn.TEXTJOIN( "", , data_scaledImpacts[[#This Row],[sector]:[impactType]] )</f>
        <v>VibrioHadGEM2-ES5 N/ADirectMedCost</v>
      </c>
      <c r="C2975" s="33" t="s">
        <v>1306</v>
      </c>
      <c r="D2975" s="33" t="s">
        <v>3</v>
      </c>
      <c r="E2975" s="34">
        <v>5</v>
      </c>
      <c r="F2975" s="34" t="s">
        <v>1312</v>
      </c>
      <c r="G2975" s="34" t="s">
        <v>201</v>
      </c>
      <c r="H2975" s="35" t="s">
        <v>1309</v>
      </c>
      <c r="I2975" s="43"/>
      <c r="J2975" s="96"/>
      <c r="K2975" s="36">
        <v>0.20593436299982901</v>
      </c>
      <c r="L2975" s="37"/>
      <c r="M2975" s="36">
        <v>0.39603828994203499</v>
      </c>
      <c r="N2975" s="36">
        <v>0.33681178160938702</v>
      </c>
      <c r="O2975" s="36">
        <v>0.11552015184138099</v>
      </c>
      <c r="P2975" s="110">
        <v>3.2271980510268299E-2</v>
      </c>
    </row>
    <row r="2976" spans="1:16" x14ac:dyDescent="0.35">
      <c r="A2976" s="3">
        <f xml:space="preserve"> ROW( data_scaledImpacts[[#This Row],[row_id]] ) - ROW( data_scaledImpacts[[#Headers],[row_id]] )</f>
        <v>2975</v>
      </c>
      <c r="B2976" s="41" t="str">
        <f xml:space="preserve"> _xlfn.TEXTJOIN( "", , data_scaledImpacts[[#This Row],[sector]:[impactType]] )</f>
        <v>VibrioHadGEM2-ES6 N/ADirectMedCost</v>
      </c>
      <c r="C2976" s="33" t="s">
        <v>1306</v>
      </c>
      <c r="D2976" s="33" t="s">
        <v>3</v>
      </c>
      <c r="E2976" s="34">
        <v>6</v>
      </c>
      <c r="F2976" s="34" t="s">
        <v>1312</v>
      </c>
      <c r="G2976" s="34" t="s">
        <v>201</v>
      </c>
      <c r="H2976" s="35" t="s">
        <v>1309</v>
      </c>
      <c r="I2976" s="43"/>
      <c r="J2976" s="96"/>
      <c r="K2976" s="36">
        <v>0.27595684980947</v>
      </c>
      <c r="L2976" s="37"/>
      <c r="M2976" s="36">
        <v>0.50835991683630499</v>
      </c>
      <c r="N2976" s="36">
        <v>0.42433293122423299</v>
      </c>
      <c r="O2976" s="36">
        <v>0.142523410049952</v>
      </c>
      <c r="P2976" s="110">
        <v>3.9679703247414301E-2</v>
      </c>
    </row>
    <row r="2977" spans="1:16" x14ac:dyDescent="0.35">
      <c r="A2977" s="3">
        <f xml:space="preserve"> ROW( data_scaledImpacts[[#This Row],[row_id]] ) - ROW( data_scaledImpacts[[#Headers],[row_id]] )</f>
        <v>2976</v>
      </c>
      <c r="B2977" s="41" t="str">
        <f xml:space="preserve"> _xlfn.TEXTJOIN( "", , data_scaledImpacts[[#This Row],[sector]:[impactType]] )</f>
        <v>VibrioMIROC51 N/ADirectMedCost</v>
      </c>
      <c r="C2977" s="33" t="s">
        <v>1306</v>
      </c>
      <c r="D2977" s="33" t="s">
        <v>4</v>
      </c>
      <c r="E2977" s="34">
        <v>1</v>
      </c>
      <c r="F2977" s="34" t="s">
        <v>1312</v>
      </c>
      <c r="G2977" s="34" t="s">
        <v>201</v>
      </c>
      <c r="H2977" s="35" t="s">
        <v>1309</v>
      </c>
      <c r="I2977" s="43"/>
      <c r="J2977" s="96"/>
      <c r="K2977" s="36">
        <v>2.5235477557669399E-2</v>
      </c>
      <c r="L2977" s="37"/>
      <c r="M2977" s="36">
        <v>4.96602571185248E-2</v>
      </c>
      <c r="N2977" s="36">
        <v>5.9023350949372298E-2</v>
      </c>
      <c r="O2977" s="36">
        <v>2.8391198280458899E-2</v>
      </c>
      <c r="P2977" s="110">
        <v>4.2472051304120097E-3</v>
      </c>
    </row>
    <row r="2978" spans="1:16" x14ac:dyDescent="0.35">
      <c r="A2978" s="3">
        <f xml:space="preserve"> ROW( data_scaledImpacts[[#This Row],[row_id]] ) - ROW( data_scaledImpacts[[#Headers],[row_id]] )</f>
        <v>2977</v>
      </c>
      <c r="B2978" s="41" t="str">
        <f xml:space="preserve"> _xlfn.TEXTJOIN( "", , data_scaledImpacts[[#This Row],[sector]:[impactType]] )</f>
        <v>VibrioMIROC52 N/ADirectMedCost</v>
      </c>
      <c r="C2978" s="33" t="s">
        <v>1306</v>
      </c>
      <c r="D2978" s="33" t="s">
        <v>4</v>
      </c>
      <c r="E2978" s="34">
        <v>2</v>
      </c>
      <c r="F2978" s="34" t="s">
        <v>1312</v>
      </c>
      <c r="G2978" s="34" t="s">
        <v>201</v>
      </c>
      <c r="H2978" s="35" t="s">
        <v>1309</v>
      </c>
      <c r="I2978" s="43"/>
      <c r="J2978" s="96"/>
      <c r="K2978" s="36">
        <v>5.9305821120329498E-2</v>
      </c>
      <c r="L2978" s="37"/>
      <c r="M2978" s="36">
        <v>7.4776809186602497E-2</v>
      </c>
      <c r="N2978" s="36">
        <v>0.118235436942488</v>
      </c>
      <c r="O2978" s="36">
        <v>5.6839923899138799E-2</v>
      </c>
      <c r="P2978" s="110">
        <v>9.5297511652970603E-3</v>
      </c>
    </row>
    <row r="2979" spans="1:16" x14ac:dyDescent="0.35">
      <c r="A2979" s="3">
        <f xml:space="preserve"> ROW( data_scaledImpacts[[#This Row],[row_id]] ) - ROW( data_scaledImpacts[[#Headers],[row_id]] )</f>
        <v>2978</v>
      </c>
      <c r="B2979" s="41" t="str">
        <f xml:space="preserve"> _xlfn.TEXTJOIN( "", , data_scaledImpacts[[#This Row],[sector]:[impactType]] )</f>
        <v>VibrioMIROC53 N/ADirectMedCost</v>
      </c>
      <c r="C2979" s="33" t="s">
        <v>1306</v>
      </c>
      <c r="D2979" s="33" t="s">
        <v>4</v>
      </c>
      <c r="E2979" s="34">
        <v>3</v>
      </c>
      <c r="F2979" s="34" t="s">
        <v>1312</v>
      </c>
      <c r="G2979" s="34" t="s">
        <v>201</v>
      </c>
      <c r="H2979" s="35" t="s">
        <v>1309</v>
      </c>
      <c r="I2979" s="43"/>
      <c r="J2979" s="96"/>
      <c r="K2979" s="36">
        <v>9.7328343023503294E-2</v>
      </c>
      <c r="L2979" s="37"/>
      <c r="M2979" s="36">
        <v>0.11924325613340001</v>
      </c>
      <c r="N2979" s="36">
        <v>0.16782027053738899</v>
      </c>
      <c r="O2979" s="36">
        <v>7.43585107032598E-2</v>
      </c>
      <c r="P2979" s="110">
        <v>1.3493340405212899E-2</v>
      </c>
    </row>
    <row r="2980" spans="1:16" x14ac:dyDescent="0.35">
      <c r="A2980" s="3">
        <f xml:space="preserve"> ROW( data_scaledImpacts[[#This Row],[row_id]] ) - ROW( data_scaledImpacts[[#Headers],[row_id]] )</f>
        <v>2979</v>
      </c>
      <c r="B2980" s="41" t="str">
        <f xml:space="preserve"> _xlfn.TEXTJOIN( "", , data_scaledImpacts[[#This Row],[sector]:[impactType]] )</f>
        <v>VibrioMIROC54 N/ADirectMedCost</v>
      </c>
      <c r="C2980" s="33" t="s">
        <v>1306</v>
      </c>
      <c r="D2980" s="33" t="s">
        <v>4</v>
      </c>
      <c r="E2980" s="34">
        <v>4</v>
      </c>
      <c r="F2980" s="34" t="s">
        <v>1312</v>
      </c>
      <c r="G2980" s="34" t="s">
        <v>201</v>
      </c>
      <c r="H2980" s="35" t="s">
        <v>1309</v>
      </c>
      <c r="I2980" s="43"/>
      <c r="J2980" s="96"/>
      <c r="K2980" s="36">
        <v>0.14475106130223001</v>
      </c>
      <c r="L2980" s="37"/>
      <c r="M2980" s="36">
        <v>0.19041416823284499</v>
      </c>
      <c r="N2980" s="36">
        <v>0.231249001325881</v>
      </c>
      <c r="O2980" s="36">
        <v>9.1548796566138402E-2</v>
      </c>
      <c r="P2980" s="110">
        <v>1.7034857989402699E-2</v>
      </c>
    </row>
    <row r="2981" spans="1:16" x14ac:dyDescent="0.35">
      <c r="A2981" s="3">
        <f xml:space="preserve"> ROW( data_scaledImpacts[[#This Row],[row_id]] ) - ROW( data_scaledImpacts[[#Headers],[row_id]] )</f>
        <v>2980</v>
      </c>
      <c r="B2981" s="41" t="str">
        <f xml:space="preserve"> _xlfn.TEXTJOIN( "", , data_scaledImpacts[[#This Row],[sector]:[impactType]] )</f>
        <v>VibrioMIROC55 N/ADirectMedCost</v>
      </c>
      <c r="C2981" s="33" t="s">
        <v>1306</v>
      </c>
      <c r="D2981" s="33" t="s">
        <v>4</v>
      </c>
      <c r="E2981" s="34">
        <v>5</v>
      </c>
      <c r="F2981" s="34" t="s">
        <v>1312</v>
      </c>
      <c r="G2981" s="34" t="s">
        <v>201</v>
      </c>
      <c r="H2981" s="35" t="s">
        <v>1309</v>
      </c>
      <c r="I2981" s="43"/>
      <c r="J2981" s="96"/>
      <c r="K2981" s="36">
        <v>0.16921865484811499</v>
      </c>
      <c r="L2981" s="37"/>
      <c r="M2981" s="36">
        <v>0.247815138410867</v>
      </c>
      <c r="N2981" s="36">
        <v>0.29926358429176603</v>
      </c>
      <c r="O2981" s="36">
        <v>0.119698702511198</v>
      </c>
      <c r="P2981" s="110">
        <v>2.4269517258788599E-2</v>
      </c>
    </row>
    <row r="2982" spans="1:16" x14ac:dyDescent="0.35">
      <c r="A2982" s="3">
        <f xml:space="preserve"> ROW( data_scaledImpacts[[#This Row],[row_id]] ) - ROW( data_scaledImpacts[[#Headers],[row_id]] )</f>
        <v>2981</v>
      </c>
      <c r="B2982" s="41" t="str">
        <f xml:space="preserve"> _xlfn.TEXTJOIN( "", , data_scaledImpacts[[#This Row],[sector]:[impactType]] )</f>
        <v>VibrioCanESM21 N/ALostDays</v>
      </c>
      <c r="C2982" s="33" t="s">
        <v>1306</v>
      </c>
      <c r="D2982" s="33" t="s">
        <v>0</v>
      </c>
      <c r="E2982" s="34">
        <v>1</v>
      </c>
      <c r="F2982" s="34" t="s">
        <v>1312</v>
      </c>
      <c r="G2982" s="34" t="s">
        <v>201</v>
      </c>
      <c r="H2982" s="35" t="s">
        <v>1310</v>
      </c>
      <c r="I2982" s="43"/>
      <c r="J2982" s="96"/>
      <c r="K2982" s="36">
        <v>1.4091160933114399E-4</v>
      </c>
      <c r="L2982" s="37"/>
      <c r="M2982" s="36">
        <v>3.4399763324892603E-4</v>
      </c>
      <c r="N2982" s="36">
        <v>1.587790867467E-4</v>
      </c>
      <c r="O2982" s="36">
        <v>5.2917571595208897E-5</v>
      </c>
      <c r="P2982" s="110">
        <v>2.5389657490412399E-5</v>
      </c>
    </row>
    <row r="2983" spans="1:16" x14ac:dyDescent="0.35">
      <c r="A2983" s="3">
        <f xml:space="preserve"> ROW( data_scaledImpacts[[#This Row],[row_id]] ) - ROW( data_scaledImpacts[[#Headers],[row_id]] )</f>
        <v>2982</v>
      </c>
      <c r="B2983" s="41" t="str">
        <f xml:space="preserve"> _xlfn.TEXTJOIN( "", , data_scaledImpacts[[#This Row],[sector]:[impactType]] )</f>
        <v>VibrioCanESM22 N/ALostDays</v>
      </c>
      <c r="C2983" s="33" t="s">
        <v>1306</v>
      </c>
      <c r="D2983" s="33" t="s">
        <v>0</v>
      </c>
      <c r="E2983" s="34">
        <v>2</v>
      </c>
      <c r="F2983" s="34" t="s">
        <v>1312</v>
      </c>
      <c r="G2983" s="34" t="s">
        <v>201</v>
      </c>
      <c r="H2983" s="35" t="s">
        <v>1310</v>
      </c>
      <c r="I2983" s="43"/>
      <c r="J2983" s="96"/>
      <c r="K2983" s="36">
        <v>2.40252797858768E-4</v>
      </c>
      <c r="L2983" s="37"/>
      <c r="M2983" s="36">
        <v>6.6341893294840704E-4</v>
      </c>
      <c r="N2983" s="36">
        <v>3.0242897274451697E-4</v>
      </c>
      <c r="O2983" s="36">
        <v>9.0555993319716495E-5</v>
      </c>
      <c r="P2983" s="110">
        <v>6.0870553987237301E-5</v>
      </c>
    </row>
    <row r="2984" spans="1:16" x14ac:dyDescent="0.35">
      <c r="A2984" s="3">
        <f xml:space="preserve"> ROW( data_scaledImpacts[[#This Row],[row_id]] ) - ROW( data_scaledImpacts[[#Headers],[row_id]] )</f>
        <v>2983</v>
      </c>
      <c r="B2984" s="41" t="str">
        <f xml:space="preserve"> _xlfn.TEXTJOIN( "", , data_scaledImpacts[[#This Row],[sector]:[impactType]] )</f>
        <v>VibrioCanESM23 N/ALostDays</v>
      </c>
      <c r="C2984" s="33" t="s">
        <v>1306</v>
      </c>
      <c r="D2984" s="33" t="s">
        <v>0</v>
      </c>
      <c r="E2984" s="34">
        <v>3</v>
      </c>
      <c r="F2984" s="34" t="s">
        <v>1312</v>
      </c>
      <c r="G2984" s="34" t="s">
        <v>201</v>
      </c>
      <c r="H2984" s="35" t="s">
        <v>1310</v>
      </c>
      <c r="I2984" s="43"/>
      <c r="J2984" s="96"/>
      <c r="K2984" s="36">
        <v>3.4462352300870699E-4</v>
      </c>
      <c r="L2984" s="37"/>
      <c r="M2984" s="36">
        <v>1.10998498723747E-3</v>
      </c>
      <c r="N2984" s="36">
        <v>4.2069399024749298E-4</v>
      </c>
      <c r="O2984" s="36">
        <v>1.2792460035346501E-4</v>
      </c>
      <c r="P2984" s="110">
        <v>8.3652950450601501E-5</v>
      </c>
    </row>
    <row r="2985" spans="1:16" x14ac:dyDescent="0.35">
      <c r="A2985" s="3">
        <f xml:space="preserve"> ROW( data_scaledImpacts[[#This Row],[row_id]] ) - ROW( data_scaledImpacts[[#Headers],[row_id]] )</f>
        <v>2984</v>
      </c>
      <c r="B2985" s="41" t="str">
        <f xml:space="preserve"> _xlfn.TEXTJOIN( "", , data_scaledImpacts[[#This Row],[sector]:[impactType]] )</f>
        <v>VibrioCanESM24 N/ALostDays</v>
      </c>
      <c r="C2985" s="33" t="s">
        <v>1306</v>
      </c>
      <c r="D2985" s="33" t="s">
        <v>0</v>
      </c>
      <c r="E2985" s="34">
        <v>4</v>
      </c>
      <c r="F2985" s="34" t="s">
        <v>1312</v>
      </c>
      <c r="G2985" s="34" t="s">
        <v>201</v>
      </c>
      <c r="H2985" s="35" t="s">
        <v>1310</v>
      </c>
      <c r="I2985" s="43"/>
      <c r="J2985" s="96"/>
      <c r="K2985" s="36">
        <v>4.9469548181294801E-4</v>
      </c>
      <c r="L2985" s="37"/>
      <c r="M2985" s="36">
        <v>1.58952957071786E-3</v>
      </c>
      <c r="N2985" s="36">
        <v>5.6098271866996004E-4</v>
      </c>
      <c r="O2985" s="36">
        <v>1.7215915926492299E-4</v>
      </c>
      <c r="P2985" s="110">
        <v>1.21950858975626E-4</v>
      </c>
    </row>
    <row r="2986" spans="1:16" x14ac:dyDescent="0.35">
      <c r="A2986" s="3">
        <f xml:space="preserve"> ROW( data_scaledImpacts[[#This Row],[row_id]] ) - ROW( data_scaledImpacts[[#Headers],[row_id]] )</f>
        <v>2985</v>
      </c>
      <c r="B2986" s="41" t="str">
        <f xml:space="preserve"> _xlfn.TEXTJOIN( "", , data_scaledImpacts[[#This Row],[sector]:[impactType]] )</f>
        <v>VibrioCanESM25 N/ALostDays</v>
      </c>
      <c r="C2986" s="33" t="s">
        <v>1306</v>
      </c>
      <c r="D2986" s="33" t="s">
        <v>0</v>
      </c>
      <c r="E2986" s="34">
        <v>5</v>
      </c>
      <c r="F2986" s="34" t="s">
        <v>1312</v>
      </c>
      <c r="G2986" s="34" t="s">
        <v>201</v>
      </c>
      <c r="H2986" s="35" t="s">
        <v>1310</v>
      </c>
      <c r="I2986" s="43"/>
      <c r="J2986" s="96"/>
      <c r="K2986" s="36">
        <v>6.2826017110836105E-4</v>
      </c>
      <c r="L2986" s="37"/>
      <c r="M2986" s="36">
        <v>2.0514392679279901E-3</v>
      </c>
      <c r="N2986" s="36">
        <v>6.7897685376437904E-4</v>
      </c>
      <c r="O2986" s="36">
        <v>1.91446189417189E-4</v>
      </c>
      <c r="P2986" s="110">
        <v>1.5153673440481099E-4</v>
      </c>
    </row>
    <row r="2987" spans="1:16" x14ac:dyDescent="0.35">
      <c r="A2987" s="3">
        <f xml:space="preserve"> ROW( data_scaledImpacts[[#This Row],[row_id]] ) - ROW( data_scaledImpacts[[#Headers],[row_id]] )</f>
        <v>2986</v>
      </c>
      <c r="B2987" s="41" t="str">
        <f xml:space="preserve"> _xlfn.TEXTJOIN( "", , data_scaledImpacts[[#This Row],[sector]:[impactType]] )</f>
        <v>VibrioCanESM26 N/ALostDays</v>
      </c>
      <c r="C2987" s="33" t="s">
        <v>1306</v>
      </c>
      <c r="D2987" s="33" t="s">
        <v>0</v>
      </c>
      <c r="E2987" s="34">
        <v>6</v>
      </c>
      <c r="F2987" s="34" t="s">
        <v>1312</v>
      </c>
      <c r="G2987" s="34" t="s">
        <v>201</v>
      </c>
      <c r="H2987" s="35" t="s">
        <v>1310</v>
      </c>
      <c r="I2987" s="43"/>
      <c r="J2987" s="96"/>
      <c r="K2987" s="36">
        <v>8.0313614810394597E-4</v>
      </c>
      <c r="L2987" s="37"/>
      <c r="M2987" s="36">
        <v>2.5871562158408302E-3</v>
      </c>
      <c r="N2987" s="36">
        <v>8.6559096732421201E-4</v>
      </c>
      <c r="O2987" s="36">
        <v>2.4845823403110598E-4</v>
      </c>
      <c r="P2987" s="110">
        <v>1.97676022254808E-4</v>
      </c>
    </row>
    <row r="2988" spans="1:16" x14ac:dyDescent="0.35">
      <c r="A2988" s="3">
        <f xml:space="preserve"> ROW( data_scaledImpacts[[#This Row],[row_id]] ) - ROW( data_scaledImpacts[[#Headers],[row_id]] )</f>
        <v>2987</v>
      </c>
      <c r="B2988" s="41" t="str">
        <f xml:space="preserve"> _xlfn.TEXTJOIN( "", , data_scaledImpacts[[#This Row],[sector]:[impactType]] )</f>
        <v>VibrioCCSM41 N/ALostDays</v>
      </c>
      <c r="C2988" s="33" t="s">
        <v>1306</v>
      </c>
      <c r="D2988" s="33" t="s">
        <v>1</v>
      </c>
      <c r="E2988" s="34">
        <v>1</v>
      </c>
      <c r="F2988" s="34" t="s">
        <v>1312</v>
      </c>
      <c r="G2988" s="34" t="s">
        <v>201</v>
      </c>
      <c r="H2988" s="35" t="s">
        <v>1310</v>
      </c>
      <c r="I2988" s="43"/>
      <c r="J2988" s="96"/>
      <c r="K2988" s="36">
        <v>8.6411407877929697E-5</v>
      </c>
      <c r="L2988" s="37"/>
      <c r="M2988" s="36">
        <v>2.28034232383702E-4</v>
      </c>
      <c r="N2988" s="36">
        <v>1.2274073898348899E-4</v>
      </c>
      <c r="O2988" s="36">
        <v>5.4377959898209399E-5</v>
      </c>
      <c r="P2988" s="110">
        <v>2.3733238839562099E-5</v>
      </c>
    </row>
    <row r="2989" spans="1:16" x14ac:dyDescent="0.35">
      <c r="A2989" s="3">
        <f xml:space="preserve"> ROW( data_scaledImpacts[[#This Row],[row_id]] ) - ROW( data_scaledImpacts[[#Headers],[row_id]] )</f>
        <v>2988</v>
      </c>
      <c r="B2989" s="41" t="str">
        <f xml:space="preserve"> _xlfn.TEXTJOIN( "", , data_scaledImpacts[[#This Row],[sector]:[impactType]] )</f>
        <v>VibrioCCSM42 N/ALostDays</v>
      </c>
      <c r="C2989" s="33" t="s">
        <v>1306</v>
      </c>
      <c r="D2989" s="33" t="s">
        <v>1</v>
      </c>
      <c r="E2989" s="34">
        <v>2</v>
      </c>
      <c r="F2989" s="34" t="s">
        <v>1312</v>
      </c>
      <c r="G2989" s="34" t="s">
        <v>201</v>
      </c>
      <c r="H2989" s="35" t="s">
        <v>1310</v>
      </c>
      <c r="I2989" s="43"/>
      <c r="J2989" s="96"/>
      <c r="K2989" s="36">
        <v>1.6514582522346799E-4</v>
      </c>
      <c r="L2989" s="37"/>
      <c r="M2989" s="36">
        <v>4.63610646279299E-4</v>
      </c>
      <c r="N2989" s="36">
        <v>2.26800009288118E-4</v>
      </c>
      <c r="O2989" s="36">
        <v>7.3778598313171005E-5</v>
      </c>
      <c r="P2989" s="110">
        <v>4.3819244689433098E-5</v>
      </c>
    </row>
    <row r="2990" spans="1:16" x14ac:dyDescent="0.35">
      <c r="A2990" s="3">
        <f xml:space="preserve"> ROW( data_scaledImpacts[[#This Row],[row_id]] ) - ROW( data_scaledImpacts[[#Headers],[row_id]] )</f>
        <v>2989</v>
      </c>
      <c r="B2990" s="41" t="str">
        <f xml:space="preserve"> _xlfn.TEXTJOIN( "", , data_scaledImpacts[[#This Row],[sector]:[impactType]] )</f>
        <v>VibrioCCSM43 N/ALostDays</v>
      </c>
      <c r="C2990" s="33" t="s">
        <v>1306</v>
      </c>
      <c r="D2990" s="33" t="s">
        <v>1</v>
      </c>
      <c r="E2990" s="34">
        <v>3</v>
      </c>
      <c r="F2990" s="34" t="s">
        <v>1312</v>
      </c>
      <c r="G2990" s="34" t="s">
        <v>201</v>
      </c>
      <c r="H2990" s="35" t="s">
        <v>1310</v>
      </c>
      <c r="I2990" s="43"/>
      <c r="J2990" s="96"/>
      <c r="K2990" s="36">
        <v>2.79187942551515E-4</v>
      </c>
      <c r="L2990" s="37"/>
      <c r="M2990" s="36">
        <v>8.0562516429096996E-4</v>
      </c>
      <c r="N2990" s="36">
        <v>3.8001503117244498E-4</v>
      </c>
      <c r="O2990" s="36">
        <v>1.18345014759962E-4</v>
      </c>
      <c r="P2990" s="110">
        <v>5.6923143055552603E-5</v>
      </c>
    </row>
    <row r="2991" spans="1:16" x14ac:dyDescent="0.35">
      <c r="A2991" s="3">
        <f xml:space="preserve"> ROW( data_scaledImpacts[[#This Row],[row_id]] ) - ROW( data_scaledImpacts[[#Headers],[row_id]] )</f>
        <v>2990</v>
      </c>
      <c r="B2991" s="41" t="str">
        <f xml:space="preserve"> _xlfn.TEXTJOIN( "", , data_scaledImpacts[[#This Row],[sector]:[impactType]] )</f>
        <v>VibrioCCSM44 N/ALostDays</v>
      </c>
      <c r="C2991" s="33" t="s">
        <v>1306</v>
      </c>
      <c r="D2991" s="33" t="s">
        <v>1</v>
      </c>
      <c r="E2991" s="34">
        <v>4</v>
      </c>
      <c r="F2991" s="34" t="s">
        <v>1312</v>
      </c>
      <c r="G2991" s="34" t="s">
        <v>201</v>
      </c>
      <c r="H2991" s="35" t="s">
        <v>1310</v>
      </c>
      <c r="I2991" s="43"/>
      <c r="J2991" s="96"/>
      <c r="K2991" s="36">
        <v>3.6306129486526802E-4</v>
      </c>
      <c r="L2991" s="37"/>
      <c r="M2991" s="36">
        <v>1.20588431493335E-3</v>
      </c>
      <c r="N2991" s="36">
        <v>4.8136911065412903E-4</v>
      </c>
      <c r="O2991" s="36">
        <v>1.41132154037899E-4</v>
      </c>
      <c r="P2991" s="110">
        <v>8.8098341488815397E-5</v>
      </c>
    </row>
    <row r="2992" spans="1:16" x14ac:dyDescent="0.35">
      <c r="A2992" s="3">
        <f xml:space="preserve"> ROW( data_scaledImpacts[[#This Row],[row_id]] ) - ROW( data_scaledImpacts[[#Headers],[row_id]] )</f>
        <v>2991</v>
      </c>
      <c r="B2992" s="41" t="str">
        <f xml:space="preserve"> _xlfn.TEXTJOIN( "", , data_scaledImpacts[[#This Row],[sector]:[impactType]] )</f>
        <v>VibrioCCSM45 N/ALostDays</v>
      </c>
      <c r="C2992" s="33" t="s">
        <v>1306</v>
      </c>
      <c r="D2992" s="33" t="s">
        <v>1</v>
      </c>
      <c r="E2992" s="34">
        <v>5</v>
      </c>
      <c r="F2992" s="34" t="s">
        <v>1312</v>
      </c>
      <c r="G2992" s="34" t="s">
        <v>201</v>
      </c>
      <c r="H2992" s="35" t="s">
        <v>1310</v>
      </c>
      <c r="I2992" s="43"/>
      <c r="J2992" s="96"/>
      <c r="K2992" s="36">
        <v>4.7300409782388703E-4</v>
      </c>
      <c r="L2992" s="37"/>
      <c r="M2992" s="36">
        <v>1.3952916439593701E-3</v>
      </c>
      <c r="N2992" s="36">
        <v>6.5721529109820701E-4</v>
      </c>
      <c r="O2992" s="36">
        <v>2.0313817938894901E-4</v>
      </c>
      <c r="P2992" s="110">
        <v>9.0550408799209902E-5</v>
      </c>
    </row>
    <row r="2993" spans="1:16" x14ac:dyDescent="0.35">
      <c r="A2993" s="3">
        <f xml:space="preserve"> ROW( data_scaledImpacts[[#This Row],[row_id]] ) - ROW( data_scaledImpacts[[#Headers],[row_id]] )</f>
        <v>2992</v>
      </c>
      <c r="B2993" s="41" t="str">
        <f xml:space="preserve"> _xlfn.TEXTJOIN( "", , data_scaledImpacts[[#This Row],[sector]:[impactType]] )</f>
        <v>VibrioGFDL-CM31 N/ALostDays</v>
      </c>
      <c r="C2993" s="33" t="s">
        <v>1306</v>
      </c>
      <c r="D2993" s="33" t="s">
        <v>5</v>
      </c>
      <c r="E2993" s="34">
        <v>1</v>
      </c>
      <c r="F2993" s="34" t="s">
        <v>1312</v>
      </c>
      <c r="G2993" s="34" t="s">
        <v>201</v>
      </c>
      <c r="H2993" s="35" t="s">
        <v>1310</v>
      </c>
      <c r="I2993" s="43"/>
      <c r="J2993" s="96"/>
      <c r="K2993" s="36">
        <v>1.5226676522805101E-4</v>
      </c>
      <c r="L2993" s="37"/>
      <c r="M2993" s="36">
        <v>2.324651932582E-4</v>
      </c>
      <c r="N2993" s="36">
        <v>1.9775382459953799E-4</v>
      </c>
      <c r="O2993" s="36">
        <v>7.8737119393814295E-5</v>
      </c>
      <c r="P2993" s="110">
        <v>2.3962255479046201E-5</v>
      </c>
    </row>
    <row r="2994" spans="1:16" x14ac:dyDescent="0.35">
      <c r="A2994" s="3">
        <f xml:space="preserve"> ROW( data_scaledImpacts[[#This Row],[row_id]] ) - ROW( data_scaledImpacts[[#Headers],[row_id]] )</f>
        <v>2993</v>
      </c>
      <c r="B2994" s="41" t="str">
        <f xml:space="preserve"> _xlfn.TEXTJOIN( "", , data_scaledImpacts[[#This Row],[sector]:[impactType]] )</f>
        <v>VibrioGFDL-CM32 N/ALostDays</v>
      </c>
      <c r="C2994" s="33" t="s">
        <v>1306</v>
      </c>
      <c r="D2994" s="33" t="s">
        <v>5</v>
      </c>
      <c r="E2994" s="34">
        <v>2</v>
      </c>
      <c r="F2994" s="34" t="s">
        <v>1312</v>
      </c>
      <c r="G2994" s="34" t="s">
        <v>201</v>
      </c>
      <c r="H2994" s="35" t="s">
        <v>1310</v>
      </c>
      <c r="I2994" s="43"/>
      <c r="J2994" s="96"/>
      <c r="K2994" s="36">
        <v>2.4416575802747197E-4</v>
      </c>
      <c r="L2994" s="37"/>
      <c r="M2994" s="36">
        <v>4.8682925627400401E-4</v>
      </c>
      <c r="N2994" s="36">
        <v>3.4397867392977098E-4</v>
      </c>
      <c r="O2994" s="36">
        <v>1.2226263206037199E-4</v>
      </c>
      <c r="P2994" s="110">
        <v>4.4848926122484198E-5</v>
      </c>
    </row>
    <row r="2995" spans="1:16" x14ac:dyDescent="0.35">
      <c r="A2995" s="3">
        <f xml:space="preserve"> ROW( data_scaledImpacts[[#This Row],[row_id]] ) - ROW( data_scaledImpacts[[#Headers],[row_id]] )</f>
        <v>2994</v>
      </c>
      <c r="B2995" s="41" t="str">
        <f xml:space="preserve"> _xlfn.TEXTJOIN( "", , data_scaledImpacts[[#This Row],[sector]:[impactType]] )</f>
        <v>VibrioGFDL-CM33 N/ALostDays</v>
      </c>
      <c r="C2995" s="33" t="s">
        <v>1306</v>
      </c>
      <c r="D2995" s="33" t="s">
        <v>5</v>
      </c>
      <c r="E2995" s="34">
        <v>3</v>
      </c>
      <c r="F2995" s="34" t="s">
        <v>1312</v>
      </c>
      <c r="G2995" s="34" t="s">
        <v>201</v>
      </c>
      <c r="H2995" s="35" t="s">
        <v>1310</v>
      </c>
      <c r="I2995" s="43"/>
      <c r="J2995" s="96"/>
      <c r="K2995" s="36">
        <v>4.0541067854689303E-4</v>
      </c>
      <c r="L2995" s="37"/>
      <c r="M2995" s="36">
        <v>9.0337246872299103E-4</v>
      </c>
      <c r="N2995" s="36">
        <v>4.9040092332522205E-4</v>
      </c>
      <c r="O2995" s="36">
        <v>1.68612250029966E-4</v>
      </c>
      <c r="P2995" s="110">
        <v>7.6079724096612397E-5</v>
      </c>
    </row>
    <row r="2996" spans="1:16" x14ac:dyDescent="0.35">
      <c r="A2996" s="3">
        <f xml:space="preserve"> ROW( data_scaledImpacts[[#This Row],[row_id]] ) - ROW( data_scaledImpacts[[#Headers],[row_id]] )</f>
        <v>2995</v>
      </c>
      <c r="B2996" s="41" t="str">
        <f xml:space="preserve"> _xlfn.TEXTJOIN( "", , data_scaledImpacts[[#This Row],[sector]:[impactType]] )</f>
        <v>VibrioGFDL-CM34 N/ALostDays</v>
      </c>
      <c r="C2996" s="33" t="s">
        <v>1306</v>
      </c>
      <c r="D2996" s="33" t="s">
        <v>5</v>
      </c>
      <c r="E2996" s="34">
        <v>4</v>
      </c>
      <c r="F2996" s="34" t="s">
        <v>1312</v>
      </c>
      <c r="G2996" s="34" t="s">
        <v>201</v>
      </c>
      <c r="H2996" s="35" t="s">
        <v>1310</v>
      </c>
      <c r="I2996" s="43"/>
      <c r="J2996" s="96"/>
      <c r="K2996" s="36">
        <v>5.5012849482900697E-4</v>
      </c>
      <c r="L2996" s="37"/>
      <c r="M2996" s="36">
        <v>1.16897783316625E-3</v>
      </c>
      <c r="N2996" s="36">
        <v>6.7332597785312205E-4</v>
      </c>
      <c r="O2996" s="36">
        <v>2.16571871605022E-4</v>
      </c>
      <c r="P2996" s="110">
        <v>1.02280987170012E-4</v>
      </c>
    </row>
    <row r="2997" spans="1:16" x14ac:dyDescent="0.35">
      <c r="A2997" s="3">
        <f xml:space="preserve"> ROW( data_scaledImpacts[[#This Row],[row_id]] ) - ROW( data_scaledImpacts[[#Headers],[row_id]] )</f>
        <v>2996</v>
      </c>
      <c r="B2997" s="41" t="str">
        <f xml:space="preserve"> _xlfn.TEXTJOIN( "", , data_scaledImpacts[[#This Row],[sector]:[impactType]] )</f>
        <v>VibrioGFDL-CM35 N/ALostDays</v>
      </c>
      <c r="C2997" s="33" t="s">
        <v>1306</v>
      </c>
      <c r="D2997" s="33" t="s">
        <v>5</v>
      </c>
      <c r="E2997" s="34">
        <v>5</v>
      </c>
      <c r="F2997" s="34" t="s">
        <v>1312</v>
      </c>
      <c r="G2997" s="34" t="s">
        <v>201</v>
      </c>
      <c r="H2997" s="35" t="s">
        <v>1310</v>
      </c>
      <c r="I2997" s="43"/>
      <c r="J2997" s="96"/>
      <c r="K2997" s="36">
        <v>6.5098632197061401E-4</v>
      </c>
      <c r="L2997" s="37"/>
      <c r="M2997" s="36">
        <v>1.30185935997814E-3</v>
      </c>
      <c r="N2997" s="36">
        <v>8.1057574421716197E-4</v>
      </c>
      <c r="O2997" s="36">
        <v>2.5129082700325401E-4</v>
      </c>
      <c r="P2997" s="110">
        <v>1.2313496733122001E-4</v>
      </c>
    </row>
    <row r="2998" spans="1:16" x14ac:dyDescent="0.35">
      <c r="A2998" s="3">
        <f xml:space="preserve"> ROW( data_scaledImpacts[[#This Row],[row_id]] ) - ROW( data_scaledImpacts[[#Headers],[row_id]] )</f>
        <v>2997</v>
      </c>
      <c r="B2998" s="41" t="str">
        <f xml:space="preserve"> _xlfn.TEXTJOIN( "", , data_scaledImpacts[[#This Row],[sector]:[impactType]] )</f>
        <v>VibrioGFDL-CM36 N/ALostDays</v>
      </c>
      <c r="C2998" s="33" t="s">
        <v>1306</v>
      </c>
      <c r="D2998" s="33" t="s">
        <v>5</v>
      </c>
      <c r="E2998" s="34">
        <v>6</v>
      </c>
      <c r="F2998" s="34" t="s">
        <v>1312</v>
      </c>
      <c r="G2998" s="34" t="s">
        <v>201</v>
      </c>
      <c r="H2998" s="35" t="s">
        <v>1310</v>
      </c>
      <c r="I2998" s="43"/>
      <c r="J2998" s="96"/>
      <c r="K2998" s="36">
        <v>8.3841960021074197E-4</v>
      </c>
      <c r="L2998" s="37"/>
      <c r="M2998" s="36">
        <v>1.7824573443451801E-3</v>
      </c>
      <c r="N2998" s="36">
        <v>9.9587247062020499E-4</v>
      </c>
      <c r="O2998" s="36">
        <v>3.1281887419416202E-4</v>
      </c>
      <c r="P2998" s="110">
        <v>1.5123129118112101E-4</v>
      </c>
    </row>
    <row r="2999" spans="1:16" x14ac:dyDescent="0.35">
      <c r="A2999" s="3">
        <f xml:space="preserve"> ROW( data_scaledImpacts[[#This Row],[row_id]] ) - ROW( data_scaledImpacts[[#Headers],[row_id]] )</f>
        <v>2998</v>
      </c>
      <c r="B2999" s="41" t="str">
        <f xml:space="preserve"> _xlfn.TEXTJOIN( "", , data_scaledImpacts[[#This Row],[sector]:[impactType]] )</f>
        <v>VibrioGISS-E2-R1 N/ALostDays</v>
      </c>
      <c r="C2999" s="33" t="s">
        <v>1306</v>
      </c>
      <c r="D2999" s="33" t="s">
        <v>2</v>
      </c>
      <c r="E2999" s="34">
        <v>1</v>
      </c>
      <c r="F2999" s="34" t="s">
        <v>1312</v>
      </c>
      <c r="G2999" s="34" t="s">
        <v>201</v>
      </c>
      <c r="H2999" s="35" t="s">
        <v>1310</v>
      </c>
      <c r="I2999" s="43"/>
      <c r="J2999" s="96"/>
      <c r="K2999" s="36">
        <v>1.0771379889850301E-4</v>
      </c>
      <c r="L2999" s="37"/>
      <c r="M2999" s="36">
        <v>2.7026029900134802E-4</v>
      </c>
      <c r="N2999" s="36">
        <v>1.47094260469505E-4</v>
      </c>
      <c r="O2999" s="36">
        <v>4.7469067598718001E-5</v>
      </c>
      <c r="P2999" s="110">
        <v>2.3636179734600499E-5</v>
      </c>
    </row>
    <row r="3000" spans="1:16" x14ac:dyDescent="0.35">
      <c r="A3000" s="3">
        <f xml:space="preserve"> ROW( data_scaledImpacts[[#This Row],[row_id]] ) - ROW( data_scaledImpacts[[#Headers],[row_id]] )</f>
        <v>2999</v>
      </c>
      <c r="B3000" s="41" t="str">
        <f xml:space="preserve"> _xlfn.TEXTJOIN( "", , data_scaledImpacts[[#This Row],[sector]:[impactType]] )</f>
        <v>VibrioGISS-E2-R2 N/ALostDays</v>
      </c>
      <c r="C3000" s="33" t="s">
        <v>1306</v>
      </c>
      <c r="D3000" s="33" t="s">
        <v>2</v>
      </c>
      <c r="E3000" s="34">
        <v>2</v>
      </c>
      <c r="F3000" s="34" t="s">
        <v>1312</v>
      </c>
      <c r="G3000" s="34" t="s">
        <v>201</v>
      </c>
      <c r="H3000" s="35" t="s">
        <v>1310</v>
      </c>
      <c r="I3000" s="43"/>
      <c r="J3000" s="96"/>
      <c r="K3000" s="36">
        <v>1.6153720042099201E-4</v>
      </c>
      <c r="L3000" s="37"/>
      <c r="M3000" s="36">
        <v>4.8506154905274002E-4</v>
      </c>
      <c r="N3000" s="36">
        <v>2.8899162222372399E-4</v>
      </c>
      <c r="O3000" s="36">
        <v>8.0881561790434295E-5</v>
      </c>
      <c r="P3000" s="110">
        <v>4.5760853253529201E-5</v>
      </c>
    </row>
    <row r="3001" spans="1:16" x14ac:dyDescent="0.35">
      <c r="A3001" s="3">
        <f xml:space="preserve"> ROW( data_scaledImpacts[[#This Row],[row_id]] ) - ROW( data_scaledImpacts[[#Headers],[row_id]] )</f>
        <v>3000</v>
      </c>
      <c r="B3001" s="41" t="str">
        <f xml:space="preserve"> _xlfn.TEXTJOIN( "", , data_scaledImpacts[[#This Row],[sector]:[impactType]] )</f>
        <v>VibrioGISS-E2-R3 N/ALostDays</v>
      </c>
      <c r="C3001" s="33" t="s">
        <v>1306</v>
      </c>
      <c r="D3001" s="33" t="s">
        <v>2</v>
      </c>
      <c r="E3001" s="34">
        <v>3</v>
      </c>
      <c r="F3001" s="34" t="s">
        <v>1312</v>
      </c>
      <c r="G3001" s="34" t="s">
        <v>201</v>
      </c>
      <c r="H3001" s="35" t="s">
        <v>1310</v>
      </c>
      <c r="I3001" s="43"/>
      <c r="J3001" s="96"/>
      <c r="K3001" s="36">
        <v>2.951285932344E-4</v>
      </c>
      <c r="L3001" s="37"/>
      <c r="M3001" s="36">
        <v>6.1503685927587995E-4</v>
      </c>
      <c r="N3001" s="36">
        <v>4.2573383744856701E-4</v>
      </c>
      <c r="O3001" s="36">
        <v>1.07365463261236E-4</v>
      </c>
      <c r="P3001" s="110">
        <v>6.0215515848949601E-5</v>
      </c>
    </row>
    <row r="3002" spans="1:16" x14ac:dyDescent="0.35">
      <c r="A3002" s="3">
        <f xml:space="preserve"> ROW( data_scaledImpacts[[#This Row],[row_id]] ) - ROW( data_scaledImpacts[[#Headers],[row_id]] )</f>
        <v>3001</v>
      </c>
      <c r="B3002" s="41" t="str">
        <f xml:space="preserve"> _xlfn.TEXTJOIN( "", , data_scaledImpacts[[#This Row],[sector]:[impactType]] )</f>
        <v>VibrioHadGEM2-ES1 N/ALostDays</v>
      </c>
      <c r="C3002" s="33" t="s">
        <v>1306</v>
      </c>
      <c r="D3002" s="33" t="s">
        <v>3</v>
      </c>
      <c r="E3002" s="34">
        <v>1</v>
      </c>
      <c r="F3002" s="34" t="s">
        <v>1312</v>
      </c>
      <c r="G3002" s="34" t="s">
        <v>201</v>
      </c>
      <c r="H3002" s="35" t="s">
        <v>1310</v>
      </c>
      <c r="I3002" s="43"/>
      <c r="J3002" s="96"/>
      <c r="K3002" s="36">
        <v>9.6361329124082203E-5</v>
      </c>
      <c r="L3002" s="37"/>
      <c r="M3002" s="36">
        <v>3.8679195184760398E-4</v>
      </c>
      <c r="N3002" s="36">
        <v>2.1985286011136999E-4</v>
      </c>
      <c r="O3002" s="36">
        <v>6.3267048137033302E-5</v>
      </c>
      <c r="P3002" s="110">
        <v>1.71021661916949E-5</v>
      </c>
    </row>
    <row r="3003" spans="1:16" x14ac:dyDescent="0.35">
      <c r="A3003" s="3">
        <f xml:space="preserve"> ROW( data_scaledImpacts[[#This Row],[row_id]] ) - ROW( data_scaledImpacts[[#Headers],[row_id]] )</f>
        <v>3002</v>
      </c>
      <c r="B3003" s="41" t="str">
        <f xml:space="preserve"> _xlfn.TEXTJOIN( "", , data_scaledImpacts[[#This Row],[sector]:[impactType]] )</f>
        <v>VibrioHadGEM2-ES2 N/ALostDays</v>
      </c>
      <c r="C3003" s="33" t="s">
        <v>1306</v>
      </c>
      <c r="D3003" s="33" t="s">
        <v>3</v>
      </c>
      <c r="E3003" s="34">
        <v>2</v>
      </c>
      <c r="F3003" s="34" t="s">
        <v>1312</v>
      </c>
      <c r="G3003" s="34" t="s">
        <v>201</v>
      </c>
      <c r="H3003" s="35" t="s">
        <v>1310</v>
      </c>
      <c r="I3003" s="43"/>
      <c r="J3003" s="96"/>
      <c r="K3003" s="36">
        <v>1.8962155672027099E-4</v>
      </c>
      <c r="L3003" s="37"/>
      <c r="M3003" s="36">
        <v>5.8048079397517095E-4</v>
      </c>
      <c r="N3003" s="36">
        <v>3.1639217302033702E-4</v>
      </c>
      <c r="O3003" s="36">
        <v>1.1033968382088E-4</v>
      </c>
      <c r="P3003" s="110">
        <v>4.2213220800556797E-5</v>
      </c>
    </row>
    <row r="3004" spans="1:16" x14ac:dyDescent="0.35">
      <c r="A3004" s="3">
        <f xml:space="preserve"> ROW( data_scaledImpacts[[#This Row],[row_id]] ) - ROW( data_scaledImpacts[[#Headers],[row_id]] )</f>
        <v>3003</v>
      </c>
      <c r="B3004" s="41" t="str">
        <f xml:space="preserve"> _xlfn.TEXTJOIN( "", , data_scaledImpacts[[#This Row],[sector]:[impactType]] )</f>
        <v>VibrioHadGEM2-ES3 N/ALostDays</v>
      </c>
      <c r="C3004" s="33" t="s">
        <v>1306</v>
      </c>
      <c r="D3004" s="33" t="s">
        <v>3</v>
      </c>
      <c r="E3004" s="34">
        <v>3</v>
      </c>
      <c r="F3004" s="34" t="s">
        <v>1312</v>
      </c>
      <c r="G3004" s="34" t="s">
        <v>201</v>
      </c>
      <c r="H3004" s="35" t="s">
        <v>1310</v>
      </c>
      <c r="I3004" s="43"/>
      <c r="J3004" s="96"/>
      <c r="K3004" s="36">
        <v>2.9831233516232298E-4</v>
      </c>
      <c r="L3004" s="37"/>
      <c r="M3004" s="36">
        <v>8.0940502359207103E-4</v>
      </c>
      <c r="N3004" s="36">
        <v>4.6646579647697303E-4</v>
      </c>
      <c r="O3004" s="36">
        <v>1.32917676186209E-4</v>
      </c>
      <c r="P3004" s="110">
        <v>5.8871468109154398E-5</v>
      </c>
    </row>
    <row r="3005" spans="1:16" x14ac:dyDescent="0.35">
      <c r="A3005" s="3">
        <f xml:space="preserve"> ROW( data_scaledImpacts[[#This Row],[row_id]] ) - ROW( data_scaledImpacts[[#Headers],[row_id]] )</f>
        <v>3004</v>
      </c>
      <c r="B3005" s="41" t="str">
        <f xml:space="preserve"> _xlfn.TEXTJOIN( "", , data_scaledImpacts[[#This Row],[sector]:[impactType]] )</f>
        <v>VibrioHadGEM2-ES4 N/ALostDays</v>
      </c>
      <c r="C3005" s="33" t="s">
        <v>1306</v>
      </c>
      <c r="D3005" s="33" t="s">
        <v>3</v>
      </c>
      <c r="E3005" s="34">
        <v>4</v>
      </c>
      <c r="F3005" s="34" t="s">
        <v>1312</v>
      </c>
      <c r="G3005" s="34" t="s">
        <v>201</v>
      </c>
      <c r="H3005" s="35" t="s">
        <v>1310</v>
      </c>
      <c r="I3005" s="43"/>
      <c r="J3005" s="96"/>
      <c r="K3005" s="36">
        <v>4.2372877478040602E-4</v>
      </c>
      <c r="L3005" s="37"/>
      <c r="M3005" s="36">
        <v>1.28622145496331E-3</v>
      </c>
      <c r="N3005" s="36">
        <v>5.90414982926227E-4</v>
      </c>
      <c r="O3005" s="36">
        <v>1.6313187935767501E-4</v>
      </c>
      <c r="P3005" s="110">
        <v>1.00052740349817E-4</v>
      </c>
    </row>
    <row r="3006" spans="1:16" x14ac:dyDescent="0.35">
      <c r="A3006" s="3">
        <f xml:space="preserve"> ROW( data_scaledImpacts[[#This Row],[row_id]] ) - ROW( data_scaledImpacts[[#Headers],[row_id]] )</f>
        <v>3005</v>
      </c>
      <c r="B3006" s="41" t="str">
        <f xml:space="preserve"> _xlfn.TEXTJOIN( "", , data_scaledImpacts[[#This Row],[sector]:[impactType]] )</f>
        <v>VibrioHadGEM2-ES5 N/ALostDays</v>
      </c>
      <c r="C3006" s="33" t="s">
        <v>1306</v>
      </c>
      <c r="D3006" s="33" t="s">
        <v>3</v>
      </c>
      <c r="E3006" s="34">
        <v>5</v>
      </c>
      <c r="F3006" s="34" t="s">
        <v>1312</v>
      </c>
      <c r="G3006" s="34" t="s">
        <v>201</v>
      </c>
      <c r="H3006" s="35" t="s">
        <v>1310</v>
      </c>
      <c r="I3006" s="43"/>
      <c r="J3006" s="96"/>
      <c r="K3006" s="36">
        <v>5.6777162859460205E-4</v>
      </c>
      <c r="L3006" s="37"/>
      <c r="M3006" s="36">
        <v>1.7396231107464999E-3</v>
      </c>
      <c r="N3006" s="36">
        <v>7.1162334556190297E-4</v>
      </c>
      <c r="O3006" s="36">
        <v>1.8800677457128599E-4</v>
      </c>
      <c r="P3006" s="110">
        <v>1.23533288187457E-4</v>
      </c>
    </row>
    <row r="3007" spans="1:16" x14ac:dyDescent="0.35">
      <c r="A3007" s="3">
        <f xml:space="preserve"> ROW( data_scaledImpacts[[#This Row],[row_id]] ) - ROW( data_scaledImpacts[[#Headers],[row_id]] )</f>
        <v>3006</v>
      </c>
      <c r="B3007" s="41" t="str">
        <f xml:space="preserve"> _xlfn.TEXTJOIN( "", , data_scaledImpacts[[#This Row],[sector]:[impactType]] )</f>
        <v>VibrioHadGEM2-ES6 N/ALostDays</v>
      </c>
      <c r="C3007" s="33" t="s">
        <v>1306</v>
      </c>
      <c r="D3007" s="33" t="s">
        <v>3</v>
      </c>
      <c r="E3007" s="34">
        <v>6</v>
      </c>
      <c r="F3007" s="34" t="s">
        <v>1312</v>
      </c>
      <c r="G3007" s="34" t="s">
        <v>201</v>
      </c>
      <c r="H3007" s="35" t="s">
        <v>1310</v>
      </c>
      <c r="I3007" s="43"/>
      <c r="J3007" s="96"/>
      <c r="K3007" s="36">
        <v>7.6035015088806498E-4</v>
      </c>
      <c r="L3007" s="37"/>
      <c r="M3007" s="36">
        <v>2.0980949359198199E-3</v>
      </c>
      <c r="N3007" s="36">
        <v>8.9812632825032E-4</v>
      </c>
      <c r="O3007" s="36">
        <v>2.3237295586132599E-4</v>
      </c>
      <c r="P3007" s="110">
        <v>1.5072632452371401E-4</v>
      </c>
    </row>
    <row r="3008" spans="1:16" x14ac:dyDescent="0.35">
      <c r="A3008" s="3">
        <f xml:space="preserve"> ROW( data_scaledImpacts[[#This Row],[row_id]] ) - ROW( data_scaledImpacts[[#Headers],[row_id]] )</f>
        <v>3007</v>
      </c>
      <c r="B3008" s="41" t="str">
        <f xml:space="preserve"> _xlfn.TEXTJOIN( "", , data_scaledImpacts[[#This Row],[sector]:[impactType]] )</f>
        <v>VibrioMIROC51 N/ALostDays</v>
      </c>
      <c r="C3008" s="33" t="s">
        <v>1306</v>
      </c>
      <c r="D3008" s="33" t="s">
        <v>4</v>
      </c>
      <c r="E3008" s="34">
        <v>1</v>
      </c>
      <c r="F3008" s="34" t="s">
        <v>1312</v>
      </c>
      <c r="G3008" s="34" t="s">
        <v>201</v>
      </c>
      <c r="H3008" s="35" t="s">
        <v>1310</v>
      </c>
      <c r="I3008" s="43"/>
      <c r="J3008" s="96"/>
      <c r="K3008" s="36">
        <v>7.1677392102105001E-5</v>
      </c>
      <c r="L3008" s="37"/>
      <c r="M3008" s="36">
        <v>2.47091081366595E-4</v>
      </c>
      <c r="N3008" s="36">
        <v>1.2294792468388999E-4</v>
      </c>
      <c r="O3008" s="36">
        <v>4.56697408078117E-5</v>
      </c>
      <c r="P3008" s="110">
        <v>1.6706052595232899E-5</v>
      </c>
    </row>
    <row r="3009" spans="1:16" x14ac:dyDescent="0.35">
      <c r="A3009" s="3">
        <f xml:space="preserve"> ROW( data_scaledImpacts[[#This Row],[row_id]] ) - ROW( data_scaledImpacts[[#Headers],[row_id]] )</f>
        <v>3008</v>
      </c>
      <c r="B3009" s="41" t="str">
        <f xml:space="preserve"> _xlfn.TEXTJOIN( "", , data_scaledImpacts[[#This Row],[sector]:[impactType]] )</f>
        <v>VibrioMIROC52 N/ALostDays</v>
      </c>
      <c r="C3009" s="33" t="s">
        <v>1306</v>
      </c>
      <c r="D3009" s="33" t="s">
        <v>4</v>
      </c>
      <c r="E3009" s="34">
        <v>2</v>
      </c>
      <c r="F3009" s="34" t="s">
        <v>1312</v>
      </c>
      <c r="G3009" s="34" t="s">
        <v>201</v>
      </c>
      <c r="H3009" s="35" t="s">
        <v>1310</v>
      </c>
      <c r="I3009" s="43"/>
      <c r="J3009" s="96"/>
      <c r="K3009" s="36">
        <v>1.6724811185114799E-4</v>
      </c>
      <c r="L3009" s="37"/>
      <c r="M3009" s="36">
        <v>3.68239512717549E-4</v>
      </c>
      <c r="N3009" s="36">
        <v>2.47072753054103E-4</v>
      </c>
      <c r="O3009" s="36">
        <v>9.1003377132707505E-5</v>
      </c>
      <c r="P3009" s="110">
        <v>3.7151001845339898E-5</v>
      </c>
    </row>
    <row r="3010" spans="1:16" x14ac:dyDescent="0.35">
      <c r="A3010" s="3">
        <f xml:space="preserve"> ROW( data_scaledImpacts[[#This Row],[row_id]] ) - ROW( data_scaledImpacts[[#Headers],[row_id]] )</f>
        <v>3009</v>
      </c>
      <c r="B3010" s="41" t="str">
        <f xml:space="preserve"> _xlfn.TEXTJOIN( "", , data_scaledImpacts[[#This Row],[sector]:[impactType]] )</f>
        <v>VibrioMIROC53 N/ALostDays</v>
      </c>
      <c r="C3010" s="33" t="s">
        <v>1306</v>
      </c>
      <c r="D3010" s="33" t="s">
        <v>4</v>
      </c>
      <c r="E3010" s="34">
        <v>3</v>
      </c>
      <c r="F3010" s="34" t="s">
        <v>1312</v>
      </c>
      <c r="G3010" s="34" t="s">
        <v>201</v>
      </c>
      <c r="H3010" s="35" t="s">
        <v>1310</v>
      </c>
      <c r="I3010" s="43"/>
      <c r="J3010" s="96"/>
      <c r="K3010" s="36">
        <v>2.7826498033075003E-4</v>
      </c>
      <c r="L3010" s="37"/>
      <c r="M3010" s="36">
        <v>5.67507367030054E-4</v>
      </c>
      <c r="N3010" s="36">
        <v>3.5322897899527301E-4</v>
      </c>
      <c r="O3010" s="36">
        <v>1.19488319551693E-4</v>
      </c>
      <c r="P3010" s="110">
        <v>5.2666667086188799E-5</v>
      </c>
    </row>
    <row r="3011" spans="1:16" x14ac:dyDescent="0.35">
      <c r="A3011" s="3">
        <f xml:space="preserve"> ROW( data_scaledImpacts[[#This Row],[row_id]] ) - ROW( data_scaledImpacts[[#Headers],[row_id]] )</f>
        <v>3010</v>
      </c>
      <c r="B3011" s="41" t="str">
        <f xml:space="preserve"> _xlfn.TEXTJOIN( "", , data_scaledImpacts[[#This Row],[sector]:[impactType]] )</f>
        <v>VibrioMIROC54 N/ALostDays</v>
      </c>
      <c r="C3011" s="33" t="s">
        <v>1306</v>
      </c>
      <c r="D3011" s="33" t="s">
        <v>4</v>
      </c>
      <c r="E3011" s="34">
        <v>4</v>
      </c>
      <c r="F3011" s="34" t="s">
        <v>1312</v>
      </c>
      <c r="G3011" s="34" t="s">
        <v>201</v>
      </c>
      <c r="H3011" s="35" t="s">
        <v>1310</v>
      </c>
      <c r="I3011" s="43"/>
      <c r="J3011" s="96"/>
      <c r="K3011" s="36">
        <v>4.1296032222859399E-4</v>
      </c>
      <c r="L3011" s="37"/>
      <c r="M3011" s="36">
        <v>8.6103369283122998E-4</v>
      </c>
      <c r="N3011" s="36">
        <v>4.8793780285645702E-4</v>
      </c>
      <c r="O3011" s="36">
        <v>1.48094328567289E-4</v>
      </c>
      <c r="P3011" s="110">
        <v>6.6162728361438201E-5</v>
      </c>
    </row>
    <row r="3012" spans="1:16" x14ac:dyDescent="0.35">
      <c r="A3012" s="3">
        <f xml:space="preserve"> ROW( data_scaledImpacts[[#This Row],[row_id]] ) - ROW( data_scaledImpacts[[#Headers],[row_id]] )</f>
        <v>3011</v>
      </c>
      <c r="B3012" s="41" t="str">
        <f xml:space="preserve"> _xlfn.TEXTJOIN( "", , data_scaledImpacts[[#This Row],[sector]:[impactType]] )</f>
        <v>VibrioMIROC55 N/ALostDays</v>
      </c>
      <c r="C3012" s="33" t="s">
        <v>1306</v>
      </c>
      <c r="D3012" s="33" t="s">
        <v>4</v>
      </c>
      <c r="E3012" s="34">
        <v>5</v>
      </c>
      <c r="F3012" s="34" t="s">
        <v>1312</v>
      </c>
      <c r="G3012" s="34" t="s">
        <v>201</v>
      </c>
      <c r="H3012" s="35" t="s">
        <v>1310</v>
      </c>
      <c r="I3012" s="43"/>
      <c r="J3012" s="96"/>
      <c r="K3012" s="36">
        <v>4.8084727851868502E-4</v>
      </c>
      <c r="L3012" s="37"/>
      <c r="M3012" s="36">
        <v>1.1040235556811499E-3</v>
      </c>
      <c r="N3012" s="36">
        <v>6.3110158574514305E-4</v>
      </c>
      <c r="O3012" s="36">
        <v>1.9523441114621199E-4</v>
      </c>
      <c r="P3012" s="110">
        <v>9.3178888502933805E-5</v>
      </c>
    </row>
    <row r="3013" spans="1:16" x14ac:dyDescent="0.35">
      <c r="A3013" s="3">
        <f xml:space="preserve"> ROW( data_scaledImpacts[[#This Row],[row_id]] ) - ROW( data_scaledImpacts[[#Headers],[row_id]] )</f>
        <v>3012</v>
      </c>
      <c r="B3013" s="41" t="str">
        <f xml:space="preserve"> _xlfn.TEXTJOIN( "", , data_scaledImpacts[[#This Row],[sector]:[impactType]] )</f>
        <v>VibrioCanESM21 N/AMortality</v>
      </c>
      <c r="C3013" s="33" t="s">
        <v>1306</v>
      </c>
      <c r="D3013" s="33" t="s">
        <v>0</v>
      </c>
      <c r="E3013" s="34">
        <v>1</v>
      </c>
      <c r="F3013" s="34" t="s">
        <v>1312</v>
      </c>
      <c r="G3013" s="34" t="s">
        <v>201</v>
      </c>
      <c r="H3013" s="35" t="s">
        <v>768</v>
      </c>
      <c r="I3013" s="43"/>
      <c r="J3013" s="96"/>
      <c r="K3013" s="36">
        <v>1.50269666663097E-7</v>
      </c>
      <c r="L3013" s="37"/>
      <c r="M3013" s="36">
        <v>1.2818381181881E-7</v>
      </c>
      <c r="N3013" s="36">
        <v>2.3580835326268699E-7</v>
      </c>
      <c r="O3013" s="36">
        <v>1.0762383525756299E-7</v>
      </c>
      <c r="P3013" s="110">
        <v>1.60351560113784E-8</v>
      </c>
    </row>
    <row r="3014" spans="1:16" x14ac:dyDescent="0.35">
      <c r="A3014" s="3">
        <f xml:space="preserve"> ROW( data_scaledImpacts[[#This Row],[row_id]] ) - ROW( data_scaledImpacts[[#Headers],[row_id]] )</f>
        <v>3013</v>
      </c>
      <c r="B3014" s="41" t="str">
        <f xml:space="preserve"> _xlfn.TEXTJOIN( "", , data_scaledImpacts[[#This Row],[sector]:[impactType]] )</f>
        <v>VibrioCanESM22 N/AMortality</v>
      </c>
      <c r="C3014" s="33" t="s">
        <v>1306</v>
      </c>
      <c r="D3014" s="33" t="s">
        <v>0</v>
      </c>
      <c r="E3014" s="34">
        <v>2</v>
      </c>
      <c r="F3014" s="34" t="s">
        <v>1312</v>
      </c>
      <c r="G3014" s="34" t="s">
        <v>201</v>
      </c>
      <c r="H3014" s="35" t="s">
        <v>768</v>
      </c>
      <c r="I3014" s="43"/>
      <c r="J3014" s="96"/>
      <c r="K3014" s="36">
        <v>2.62092141473795E-7</v>
      </c>
      <c r="L3014" s="37"/>
      <c r="M3014" s="36">
        <v>2.7040559180468902E-7</v>
      </c>
      <c r="N3014" s="36">
        <v>4.44954467669318E-7</v>
      </c>
      <c r="O3014" s="36">
        <v>1.8365227174968201E-7</v>
      </c>
      <c r="P3014" s="110">
        <v>3.8788993003419398E-8</v>
      </c>
    </row>
    <row r="3015" spans="1:16" x14ac:dyDescent="0.35">
      <c r="A3015" s="3">
        <f xml:space="preserve"> ROW( data_scaledImpacts[[#This Row],[row_id]] ) - ROW( data_scaledImpacts[[#Headers],[row_id]] )</f>
        <v>3014</v>
      </c>
      <c r="B3015" s="41" t="str">
        <f xml:space="preserve"> _xlfn.TEXTJOIN( "", , data_scaledImpacts[[#This Row],[sector]:[impactType]] )</f>
        <v>VibrioCanESM23 N/AMortality</v>
      </c>
      <c r="C3015" s="33" t="s">
        <v>1306</v>
      </c>
      <c r="D3015" s="33" t="s">
        <v>0</v>
      </c>
      <c r="E3015" s="34">
        <v>3</v>
      </c>
      <c r="F3015" s="34" t="s">
        <v>1312</v>
      </c>
      <c r="G3015" s="34" t="s">
        <v>201</v>
      </c>
      <c r="H3015" s="35" t="s">
        <v>768</v>
      </c>
      <c r="I3015" s="43"/>
      <c r="J3015" s="96"/>
      <c r="K3015" s="36">
        <v>3.7032420235896102E-7</v>
      </c>
      <c r="L3015" s="37"/>
      <c r="M3015" s="36">
        <v>5.1482064218652497E-7</v>
      </c>
      <c r="N3015" s="36">
        <v>6.1601167713746997E-7</v>
      </c>
      <c r="O3015" s="36">
        <v>2.5986106415390302E-7</v>
      </c>
      <c r="P3015" s="110">
        <v>5.3782494224868497E-8</v>
      </c>
    </row>
    <row r="3016" spans="1:16" x14ac:dyDescent="0.35">
      <c r="A3016" s="3">
        <f xml:space="preserve"> ROW( data_scaledImpacts[[#This Row],[row_id]] ) - ROW( data_scaledImpacts[[#Headers],[row_id]] )</f>
        <v>3015</v>
      </c>
      <c r="B3016" s="41" t="str">
        <f xml:space="preserve"> _xlfn.TEXTJOIN( "", , data_scaledImpacts[[#This Row],[sector]:[impactType]] )</f>
        <v>VibrioCanESM24 N/AMortality</v>
      </c>
      <c r="C3016" s="33" t="s">
        <v>1306</v>
      </c>
      <c r="D3016" s="33" t="s">
        <v>0</v>
      </c>
      <c r="E3016" s="34">
        <v>4</v>
      </c>
      <c r="F3016" s="34" t="s">
        <v>1312</v>
      </c>
      <c r="G3016" s="34" t="s">
        <v>201</v>
      </c>
      <c r="H3016" s="35" t="s">
        <v>768</v>
      </c>
      <c r="I3016" s="43"/>
      <c r="J3016" s="96"/>
      <c r="K3016" s="36">
        <v>5.2183474777689202E-7</v>
      </c>
      <c r="L3016" s="37"/>
      <c r="M3016" s="36">
        <v>8.19845720218619E-7</v>
      </c>
      <c r="N3016" s="36">
        <v>8.2288902984297503E-7</v>
      </c>
      <c r="O3016" s="36">
        <v>3.4729181010726802E-7</v>
      </c>
      <c r="P3016" s="110">
        <v>7.9744413357003905E-8</v>
      </c>
    </row>
    <row r="3017" spans="1:16" x14ac:dyDescent="0.35">
      <c r="A3017" s="3">
        <f xml:space="preserve"> ROW( data_scaledImpacts[[#This Row],[row_id]] ) - ROW( data_scaledImpacts[[#Headers],[row_id]] )</f>
        <v>3016</v>
      </c>
      <c r="B3017" s="41" t="str">
        <f xml:space="preserve"> _xlfn.TEXTJOIN( "", , data_scaledImpacts[[#This Row],[sector]:[impactType]] )</f>
        <v>VibrioCanESM25 N/AMortality</v>
      </c>
      <c r="C3017" s="33" t="s">
        <v>1306</v>
      </c>
      <c r="D3017" s="33" t="s">
        <v>0</v>
      </c>
      <c r="E3017" s="34">
        <v>5</v>
      </c>
      <c r="F3017" s="34" t="s">
        <v>1312</v>
      </c>
      <c r="G3017" s="34" t="s">
        <v>201</v>
      </c>
      <c r="H3017" s="35" t="s">
        <v>768</v>
      </c>
      <c r="I3017" s="43"/>
      <c r="J3017" s="96"/>
      <c r="K3017" s="36">
        <v>6.6640967831154395E-7</v>
      </c>
      <c r="L3017" s="37"/>
      <c r="M3017" s="36">
        <v>1.12961583440754E-6</v>
      </c>
      <c r="N3017" s="36">
        <v>9.868634101562749E-7</v>
      </c>
      <c r="O3017" s="36">
        <v>3.8597275155517402E-7</v>
      </c>
      <c r="P3017" s="110">
        <v>1.0142369602771E-7</v>
      </c>
    </row>
    <row r="3018" spans="1:16" x14ac:dyDescent="0.35">
      <c r="A3018" s="3">
        <f xml:space="preserve"> ROW( data_scaledImpacts[[#This Row],[row_id]] ) - ROW( data_scaledImpacts[[#Headers],[row_id]] )</f>
        <v>3017</v>
      </c>
      <c r="B3018" s="41" t="str">
        <f xml:space="preserve"> _xlfn.TEXTJOIN( "", , data_scaledImpacts[[#This Row],[sector]:[impactType]] )</f>
        <v>VibrioCanESM26 N/AMortality</v>
      </c>
      <c r="C3018" s="33" t="s">
        <v>1306</v>
      </c>
      <c r="D3018" s="33" t="s">
        <v>0</v>
      </c>
      <c r="E3018" s="34">
        <v>6</v>
      </c>
      <c r="F3018" s="34" t="s">
        <v>1312</v>
      </c>
      <c r="G3018" s="34" t="s">
        <v>201</v>
      </c>
      <c r="H3018" s="35" t="s">
        <v>768</v>
      </c>
      <c r="I3018" s="43"/>
      <c r="J3018" s="96"/>
      <c r="K3018" s="36">
        <v>8.43453954830125E-7</v>
      </c>
      <c r="L3018" s="37"/>
      <c r="M3018" s="36">
        <v>1.5168949098294499E-6</v>
      </c>
      <c r="N3018" s="36">
        <v>1.26193612725557E-6</v>
      </c>
      <c r="O3018" s="36">
        <v>4.9665062556724302E-7</v>
      </c>
      <c r="P3018" s="110">
        <v>1.3422548658542901E-7</v>
      </c>
    </row>
    <row r="3019" spans="1:16" x14ac:dyDescent="0.35">
      <c r="A3019" s="3">
        <f xml:space="preserve"> ROW( data_scaledImpacts[[#This Row],[row_id]] ) - ROW( data_scaledImpacts[[#Headers],[row_id]] )</f>
        <v>3018</v>
      </c>
      <c r="B3019" s="41" t="str">
        <f xml:space="preserve"> _xlfn.TEXTJOIN( "", , data_scaledImpacts[[#This Row],[sector]:[impactType]] )</f>
        <v>VibrioCCSM41 N/AMortality</v>
      </c>
      <c r="C3019" s="33" t="s">
        <v>1306</v>
      </c>
      <c r="D3019" s="33" t="s">
        <v>1</v>
      </c>
      <c r="E3019" s="34">
        <v>1</v>
      </c>
      <c r="F3019" s="34" t="s">
        <v>1312</v>
      </c>
      <c r="G3019" s="34" t="s">
        <v>201</v>
      </c>
      <c r="H3019" s="35" t="s">
        <v>768</v>
      </c>
      <c r="I3019" s="43"/>
      <c r="J3019" s="96"/>
      <c r="K3019" s="36">
        <v>8.9938371083940995E-8</v>
      </c>
      <c r="L3019" s="37"/>
      <c r="M3019" s="36">
        <v>7.8510377272031696E-8</v>
      </c>
      <c r="N3019" s="36">
        <v>1.8810056801965899E-7</v>
      </c>
      <c r="O3019" s="36">
        <v>1.12162289439539E-7</v>
      </c>
      <c r="P3019" s="110">
        <v>1.5584830740646898E-8</v>
      </c>
    </row>
    <row r="3020" spans="1:16" x14ac:dyDescent="0.35">
      <c r="A3020" s="3">
        <f xml:space="preserve"> ROW( data_scaledImpacts[[#This Row],[row_id]] ) - ROW( data_scaledImpacts[[#Headers],[row_id]] )</f>
        <v>3019</v>
      </c>
      <c r="B3020" s="41" t="str">
        <f xml:space="preserve"> _xlfn.TEXTJOIN( "", , data_scaledImpacts[[#This Row],[sector]:[impactType]] )</f>
        <v>VibrioCCSM42 N/AMortality</v>
      </c>
      <c r="C3020" s="33" t="s">
        <v>1306</v>
      </c>
      <c r="D3020" s="33" t="s">
        <v>1</v>
      </c>
      <c r="E3020" s="34">
        <v>2</v>
      </c>
      <c r="F3020" s="34" t="s">
        <v>1312</v>
      </c>
      <c r="G3020" s="34" t="s">
        <v>201</v>
      </c>
      <c r="H3020" s="35" t="s">
        <v>768</v>
      </c>
      <c r="I3020" s="43"/>
      <c r="J3020" s="96"/>
      <c r="K3020" s="36">
        <v>1.74067149880565E-7</v>
      </c>
      <c r="L3020" s="37"/>
      <c r="M3020" s="36">
        <v>1.69055736573494E-7</v>
      </c>
      <c r="N3020" s="36">
        <v>3.3787643038317301E-7</v>
      </c>
      <c r="O3020" s="36">
        <v>1.52505886140411E-7</v>
      </c>
      <c r="P3020" s="110">
        <v>2.79851059756736E-8</v>
      </c>
    </row>
    <row r="3021" spans="1:16" x14ac:dyDescent="0.35">
      <c r="A3021" s="3">
        <f xml:space="preserve"> ROW( data_scaledImpacts[[#This Row],[row_id]] ) - ROW( data_scaledImpacts[[#Headers],[row_id]] )</f>
        <v>3020</v>
      </c>
      <c r="B3021" s="41" t="str">
        <f xml:space="preserve"> _xlfn.TEXTJOIN( "", , data_scaledImpacts[[#This Row],[sector]:[impactType]] )</f>
        <v>VibrioCCSM43 N/AMortality</v>
      </c>
      <c r="C3021" s="33" t="s">
        <v>1306</v>
      </c>
      <c r="D3021" s="33" t="s">
        <v>1</v>
      </c>
      <c r="E3021" s="34">
        <v>3</v>
      </c>
      <c r="F3021" s="34" t="s">
        <v>1312</v>
      </c>
      <c r="G3021" s="34" t="s">
        <v>201</v>
      </c>
      <c r="H3021" s="35" t="s">
        <v>768</v>
      </c>
      <c r="I3021" s="43"/>
      <c r="J3021" s="96"/>
      <c r="K3021" s="36">
        <v>2.9149391816854701E-7</v>
      </c>
      <c r="L3021" s="37"/>
      <c r="M3021" s="36">
        <v>3.1493963105399398E-7</v>
      </c>
      <c r="N3021" s="36">
        <v>5.6252394635072495E-7</v>
      </c>
      <c r="O3021" s="36">
        <v>2.4134271213170802E-7</v>
      </c>
      <c r="P3021" s="110">
        <v>3.6235107987101503E-8</v>
      </c>
    </row>
    <row r="3022" spans="1:16" x14ac:dyDescent="0.35">
      <c r="A3022" s="3">
        <f xml:space="preserve"> ROW( data_scaledImpacts[[#This Row],[row_id]] ) - ROW( data_scaledImpacts[[#Headers],[row_id]] )</f>
        <v>3021</v>
      </c>
      <c r="B3022" s="41" t="str">
        <f xml:space="preserve"> _xlfn.TEXTJOIN( "", , data_scaledImpacts[[#This Row],[sector]:[impactType]] )</f>
        <v>VibrioCCSM44 N/AMortality</v>
      </c>
      <c r="C3022" s="33" t="s">
        <v>1306</v>
      </c>
      <c r="D3022" s="33" t="s">
        <v>1</v>
      </c>
      <c r="E3022" s="34">
        <v>4</v>
      </c>
      <c r="F3022" s="34" t="s">
        <v>1312</v>
      </c>
      <c r="G3022" s="34" t="s">
        <v>201</v>
      </c>
      <c r="H3022" s="35" t="s">
        <v>768</v>
      </c>
      <c r="I3022" s="43"/>
      <c r="J3022" s="96"/>
      <c r="K3022" s="36">
        <v>3.7643526959570302E-7</v>
      </c>
      <c r="L3022" s="37"/>
      <c r="M3022" s="36">
        <v>5.3160965714205601E-7</v>
      </c>
      <c r="N3022" s="36">
        <v>7.08354853479393E-7</v>
      </c>
      <c r="O3022" s="36">
        <v>2.8743991228906099E-7</v>
      </c>
      <c r="P3022" s="110">
        <v>5.74032677122246E-8</v>
      </c>
    </row>
    <row r="3023" spans="1:16" x14ac:dyDescent="0.35">
      <c r="A3023" s="3">
        <f xml:space="preserve"> ROW( data_scaledImpacts[[#This Row],[row_id]] ) - ROW( data_scaledImpacts[[#Headers],[row_id]] )</f>
        <v>3022</v>
      </c>
      <c r="B3023" s="41" t="str">
        <f xml:space="preserve"> _xlfn.TEXTJOIN( "", , data_scaledImpacts[[#This Row],[sector]:[impactType]] )</f>
        <v>VibrioCCSM45 N/AMortality</v>
      </c>
      <c r="C3023" s="33" t="s">
        <v>1306</v>
      </c>
      <c r="D3023" s="33" t="s">
        <v>1</v>
      </c>
      <c r="E3023" s="34">
        <v>5</v>
      </c>
      <c r="F3023" s="34" t="s">
        <v>1312</v>
      </c>
      <c r="G3023" s="34" t="s">
        <v>201</v>
      </c>
      <c r="H3023" s="35" t="s">
        <v>768</v>
      </c>
      <c r="I3023" s="43"/>
      <c r="J3023" s="96"/>
      <c r="K3023" s="36">
        <v>4.8502484666236996E-7</v>
      </c>
      <c r="L3023" s="37"/>
      <c r="M3023" s="36">
        <v>6.3488858720035701E-7</v>
      </c>
      <c r="N3023" s="36">
        <v>9.6643780317289995E-7</v>
      </c>
      <c r="O3023" s="36">
        <v>4.1069025711722699E-7</v>
      </c>
      <c r="P3023" s="110">
        <v>5.8739426949816098E-8</v>
      </c>
    </row>
    <row r="3024" spans="1:16" x14ac:dyDescent="0.35">
      <c r="A3024" s="3">
        <f xml:space="preserve"> ROW( data_scaledImpacts[[#This Row],[row_id]] ) - ROW( data_scaledImpacts[[#Headers],[row_id]] )</f>
        <v>3023</v>
      </c>
      <c r="B3024" s="41" t="str">
        <f xml:space="preserve"> _xlfn.TEXTJOIN( "", , data_scaledImpacts[[#This Row],[sector]:[impactType]] )</f>
        <v>VibrioGFDL-CM31 N/AMortality</v>
      </c>
      <c r="C3024" s="33" t="s">
        <v>1306</v>
      </c>
      <c r="D3024" s="33" t="s">
        <v>5</v>
      </c>
      <c r="E3024" s="34">
        <v>1</v>
      </c>
      <c r="F3024" s="34" t="s">
        <v>1312</v>
      </c>
      <c r="G3024" s="34" t="s">
        <v>201</v>
      </c>
      <c r="H3024" s="35" t="s">
        <v>768</v>
      </c>
      <c r="I3024" s="43"/>
      <c r="J3024" s="96"/>
      <c r="K3024" s="36">
        <v>1.6407182664578501E-7</v>
      </c>
      <c r="L3024" s="37"/>
      <c r="M3024" s="36">
        <v>8.6616545680894507E-8</v>
      </c>
      <c r="N3024" s="36">
        <v>2.9210324703411499E-7</v>
      </c>
      <c r="O3024" s="36">
        <v>1.5976753838961699E-7</v>
      </c>
      <c r="P3024" s="110">
        <v>1.62935915500307E-8</v>
      </c>
    </row>
    <row r="3025" spans="1:16" x14ac:dyDescent="0.35">
      <c r="A3025" s="3">
        <f xml:space="preserve"> ROW( data_scaledImpacts[[#This Row],[row_id]] ) - ROW( data_scaledImpacts[[#Headers],[row_id]] )</f>
        <v>3024</v>
      </c>
      <c r="B3025" s="41" t="str">
        <f xml:space="preserve"> _xlfn.TEXTJOIN( "", , data_scaledImpacts[[#This Row],[sector]:[impactType]] )</f>
        <v>VibrioGFDL-CM32 N/AMortality</v>
      </c>
      <c r="C3025" s="33" t="s">
        <v>1306</v>
      </c>
      <c r="D3025" s="33" t="s">
        <v>5</v>
      </c>
      <c r="E3025" s="34">
        <v>2</v>
      </c>
      <c r="F3025" s="34" t="s">
        <v>1312</v>
      </c>
      <c r="G3025" s="34" t="s">
        <v>201</v>
      </c>
      <c r="H3025" s="35" t="s">
        <v>768</v>
      </c>
      <c r="I3025" s="43"/>
      <c r="J3025" s="96"/>
      <c r="K3025" s="36">
        <v>2.58412385044934E-7</v>
      </c>
      <c r="L3025" s="37"/>
      <c r="M3025" s="36">
        <v>2.0109003878407599E-7</v>
      </c>
      <c r="N3025" s="36">
        <v>5.0667083975158202E-7</v>
      </c>
      <c r="O3025" s="36">
        <v>2.4719322776471499E-7</v>
      </c>
      <c r="P3025" s="110">
        <v>2.9743510098831501E-8</v>
      </c>
    </row>
    <row r="3026" spans="1:16" x14ac:dyDescent="0.35">
      <c r="A3026" s="3">
        <f xml:space="preserve"> ROW( data_scaledImpacts[[#This Row],[row_id]] ) - ROW( data_scaledImpacts[[#Headers],[row_id]] )</f>
        <v>3025</v>
      </c>
      <c r="B3026" s="41" t="str">
        <f xml:space="preserve"> _xlfn.TEXTJOIN( "", , data_scaledImpacts[[#This Row],[sector]:[impactType]] )</f>
        <v>VibrioGFDL-CM33 N/AMortality</v>
      </c>
      <c r="C3026" s="33" t="s">
        <v>1306</v>
      </c>
      <c r="D3026" s="33" t="s">
        <v>5</v>
      </c>
      <c r="E3026" s="34">
        <v>3</v>
      </c>
      <c r="F3026" s="34" t="s">
        <v>1312</v>
      </c>
      <c r="G3026" s="34" t="s">
        <v>201</v>
      </c>
      <c r="H3026" s="35" t="s">
        <v>768</v>
      </c>
      <c r="I3026" s="43"/>
      <c r="J3026" s="96"/>
      <c r="K3026" s="36">
        <v>4.2032667768920998E-7</v>
      </c>
      <c r="L3026" s="37"/>
      <c r="M3026" s="36">
        <v>3.8319905982055302E-7</v>
      </c>
      <c r="N3026" s="36">
        <v>7.1879018035844101E-7</v>
      </c>
      <c r="O3026" s="36">
        <v>3.3920768874455902E-7</v>
      </c>
      <c r="P3026" s="110">
        <v>4.9748106039312001E-8</v>
      </c>
    </row>
    <row r="3027" spans="1:16" x14ac:dyDescent="0.35">
      <c r="A3027" s="3">
        <f xml:space="preserve"> ROW( data_scaledImpacts[[#This Row],[row_id]] ) - ROW( data_scaledImpacts[[#Headers],[row_id]] )</f>
        <v>3026</v>
      </c>
      <c r="B3027" s="41" t="str">
        <f xml:space="preserve"> _xlfn.TEXTJOIN( "", , data_scaledImpacts[[#This Row],[sector]:[impactType]] )</f>
        <v>VibrioGFDL-CM34 N/AMortality</v>
      </c>
      <c r="C3027" s="33" t="s">
        <v>1306</v>
      </c>
      <c r="D3027" s="33" t="s">
        <v>5</v>
      </c>
      <c r="E3027" s="34">
        <v>4</v>
      </c>
      <c r="F3027" s="34" t="s">
        <v>1312</v>
      </c>
      <c r="G3027" s="34" t="s">
        <v>201</v>
      </c>
      <c r="H3027" s="35" t="s">
        <v>768</v>
      </c>
      <c r="I3027" s="43"/>
      <c r="J3027" s="96"/>
      <c r="K3027" s="36">
        <v>5.7004493202306702E-7</v>
      </c>
      <c r="L3027" s="37"/>
      <c r="M3027" s="36">
        <v>5.3430966654162699E-7</v>
      </c>
      <c r="N3027" s="36">
        <v>9.8349510172910892E-7</v>
      </c>
      <c r="O3027" s="36">
        <v>4.31902215786773E-7</v>
      </c>
      <c r="P3027" s="110">
        <v>6.6923457325041905E-8</v>
      </c>
    </row>
    <row r="3028" spans="1:16" x14ac:dyDescent="0.35">
      <c r="A3028" s="3">
        <f xml:space="preserve"> ROW( data_scaledImpacts[[#This Row],[row_id]] ) - ROW( data_scaledImpacts[[#Headers],[row_id]] )</f>
        <v>3027</v>
      </c>
      <c r="B3028" s="41" t="str">
        <f xml:space="preserve"> _xlfn.TEXTJOIN( "", , data_scaledImpacts[[#This Row],[sector]:[impactType]] )</f>
        <v>VibrioGFDL-CM35 N/AMortality</v>
      </c>
      <c r="C3028" s="33" t="s">
        <v>1306</v>
      </c>
      <c r="D3028" s="33" t="s">
        <v>5</v>
      </c>
      <c r="E3028" s="34">
        <v>5</v>
      </c>
      <c r="F3028" s="34" t="s">
        <v>1312</v>
      </c>
      <c r="G3028" s="34" t="s">
        <v>201</v>
      </c>
      <c r="H3028" s="35" t="s">
        <v>768</v>
      </c>
      <c r="I3028" s="43"/>
      <c r="J3028" s="96"/>
      <c r="K3028" s="36">
        <v>6.7185263763371004E-7</v>
      </c>
      <c r="L3028" s="37"/>
      <c r="M3028" s="36">
        <v>5.9835199260965396E-7</v>
      </c>
      <c r="N3028" s="36">
        <v>1.17970982549728E-6</v>
      </c>
      <c r="O3028" s="36">
        <v>5.0273955674871401E-7</v>
      </c>
      <c r="P3028" s="110">
        <v>8.1479423497250795E-8</v>
      </c>
    </row>
    <row r="3029" spans="1:16" x14ac:dyDescent="0.35">
      <c r="A3029" s="3">
        <f xml:space="preserve"> ROW( data_scaledImpacts[[#This Row],[row_id]] ) - ROW( data_scaledImpacts[[#Headers],[row_id]] )</f>
        <v>3028</v>
      </c>
      <c r="B3029" s="41" t="str">
        <f xml:space="preserve"> _xlfn.TEXTJOIN( "", , data_scaledImpacts[[#This Row],[sector]:[impactType]] )</f>
        <v>VibrioGFDL-CM36 N/AMortality</v>
      </c>
      <c r="C3029" s="33" t="s">
        <v>1306</v>
      </c>
      <c r="D3029" s="33" t="s">
        <v>5</v>
      </c>
      <c r="E3029" s="34">
        <v>6</v>
      </c>
      <c r="F3029" s="34" t="s">
        <v>1312</v>
      </c>
      <c r="G3029" s="34" t="s">
        <v>201</v>
      </c>
      <c r="H3029" s="35" t="s">
        <v>768</v>
      </c>
      <c r="I3029" s="43"/>
      <c r="J3029" s="96"/>
      <c r="K3029" s="36">
        <v>8.6894563890938295E-7</v>
      </c>
      <c r="L3029" s="37"/>
      <c r="M3029" s="36">
        <v>9.7553876068229606E-7</v>
      </c>
      <c r="N3029" s="36">
        <v>1.45178757729892E-6</v>
      </c>
      <c r="O3029" s="36">
        <v>6.1715247261955903E-7</v>
      </c>
      <c r="P3029" s="110">
        <v>1.01289814353655E-7</v>
      </c>
    </row>
    <row r="3030" spans="1:16" x14ac:dyDescent="0.35">
      <c r="A3030" s="3">
        <f xml:space="preserve"> ROW( data_scaledImpacts[[#This Row],[row_id]] ) - ROW( data_scaledImpacts[[#Headers],[row_id]] )</f>
        <v>3029</v>
      </c>
      <c r="B3030" s="41" t="str">
        <f xml:space="preserve"> _xlfn.TEXTJOIN( "", , data_scaledImpacts[[#This Row],[sector]:[impactType]] )</f>
        <v>VibrioGISS-E2-R1 N/AMortality</v>
      </c>
      <c r="C3030" s="33" t="s">
        <v>1306</v>
      </c>
      <c r="D3030" s="33" t="s">
        <v>2</v>
      </c>
      <c r="E3030" s="34">
        <v>1</v>
      </c>
      <c r="F3030" s="34" t="s">
        <v>1312</v>
      </c>
      <c r="G3030" s="34" t="s">
        <v>201</v>
      </c>
      <c r="H3030" s="35" t="s">
        <v>768</v>
      </c>
      <c r="I3030" s="43"/>
      <c r="J3030" s="96"/>
      <c r="K3030" s="36">
        <v>1.10896990768298E-7</v>
      </c>
      <c r="L3030" s="37"/>
      <c r="M3030" s="36">
        <v>1.02637433224942E-7</v>
      </c>
      <c r="N3030" s="36">
        <v>2.1984607045312E-7</v>
      </c>
      <c r="O3030" s="36">
        <v>9.7503255281009806E-8</v>
      </c>
      <c r="P3030" s="110">
        <v>1.55195688346824E-8</v>
      </c>
    </row>
    <row r="3031" spans="1:16" x14ac:dyDescent="0.35">
      <c r="A3031" s="3">
        <f xml:space="preserve"> ROW( data_scaledImpacts[[#This Row],[row_id]] ) - ROW( data_scaledImpacts[[#Headers],[row_id]] )</f>
        <v>3030</v>
      </c>
      <c r="B3031" s="41" t="str">
        <f xml:space="preserve"> _xlfn.TEXTJOIN( "", , data_scaledImpacts[[#This Row],[sector]:[impactType]] )</f>
        <v>VibrioGISS-E2-R2 N/AMortality</v>
      </c>
      <c r="C3031" s="33" t="s">
        <v>1306</v>
      </c>
      <c r="D3031" s="33" t="s">
        <v>2</v>
      </c>
      <c r="E3031" s="34">
        <v>2</v>
      </c>
      <c r="F3031" s="34" t="s">
        <v>1312</v>
      </c>
      <c r="G3031" s="34" t="s">
        <v>201</v>
      </c>
      <c r="H3031" s="35" t="s">
        <v>768</v>
      </c>
      <c r="I3031" s="43"/>
      <c r="J3031" s="96"/>
      <c r="K3031" s="36">
        <v>1.6441652581973099E-7</v>
      </c>
      <c r="L3031" s="37"/>
      <c r="M3031" s="36">
        <v>2.0251211354245E-7</v>
      </c>
      <c r="N3031" s="36">
        <v>4.2894636269751699E-7</v>
      </c>
      <c r="O3031" s="36">
        <v>1.6528093705749201E-7</v>
      </c>
      <c r="P3031" s="110">
        <v>2.9976940894791998E-8</v>
      </c>
    </row>
    <row r="3032" spans="1:16" x14ac:dyDescent="0.35">
      <c r="A3032" s="3">
        <f xml:space="preserve"> ROW( data_scaledImpacts[[#This Row],[row_id]] ) - ROW( data_scaledImpacts[[#Headers],[row_id]] )</f>
        <v>3031</v>
      </c>
      <c r="B3032" s="41" t="str">
        <f xml:space="preserve"> _xlfn.TEXTJOIN( "", , data_scaledImpacts[[#This Row],[sector]:[impactType]] )</f>
        <v>VibrioGISS-E2-R3 N/AMortality</v>
      </c>
      <c r="C3032" s="33" t="s">
        <v>1306</v>
      </c>
      <c r="D3032" s="33" t="s">
        <v>2</v>
      </c>
      <c r="E3032" s="34">
        <v>3</v>
      </c>
      <c r="F3032" s="34" t="s">
        <v>1312</v>
      </c>
      <c r="G3032" s="34" t="s">
        <v>201</v>
      </c>
      <c r="H3032" s="35" t="s">
        <v>768</v>
      </c>
      <c r="I3032" s="43"/>
      <c r="J3032" s="96"/>
      <c r="K3032" s="36">
        <v>3.1306610975007198E-7</v>
      </c>
      <c r="L3032" s="37"/>
      <c r="M3032" s="36">
        <v>2.5331413349064399E-7</v>
      </c>
      <c r="N3032" s="36">
        <v>6.2712119268884997E-7</v>
      </c>
      <c r="O3032" s="36">
        <v>2.17941356129594E-7</v>
      </c>
      <c r="P3032" s="110">
        <v>3.8957850572768598E-8</v>
      </c>
    </row>
    <row r="3033" spans="1:16" x14ac:dyDescent="0.35">
      <c r="A3033" s="3">
        <f xml:space="preserve"> ROW( data_scaledImpacts[[#This Row],[row_id]] ) - ROW( data_scaledImpacts[[#Headers],[row_id]] )</f>
        <v>3032</v>
      </c>
      <c r="B3033" s="41" t="str">
        <f xml:space="preserve"> _xlfn.TEXTJOIN( "", , data_scaledImpacts[[#This Row],[sector]:[impactType]] )</f>
        <v>VibrioHadGEM2-ES1 N/AMortality</v>
      </c>
      <c r="C3033" s="33" t="s">
        <v>1306</v>
      </c>
      <c r="D3033" s="33" t="s">
        <v>3</v>
      </c>
      <c r="E3033" s="34">
        <v>1</v>
      </c>
      <c r="F3033" s="34" t="s">
        <v>1312</v>
      </c>
      <c r="G3033" s="34" t="s">
        <v>201</v>
      </c>
      <c r="H3033" s="35" t="s">
        <v>768</v>
      </c>
      <c r="I3033" s="43"/>
      <c r="J3033" s="96"/>
      <c r="K3033" s="36">
        <v>1.09880838734089E-7</v>
      </c>
      <c r="L3033" s="37"/>
      <c r="M3033" s="36">
        <v>1.40410486537696E-7</v>
      </c>
      <c r="N3033" s="36">
        <v>3.2919846435850701E-7</v>
      </c>
      <c r="O3033" s="36">
        <v>1.26760396911916E-7</v>
      </c>
      <c r="P3033" s="110">
        <v>1.1200789735109701E-8</v>
      </c>
    </row>
    <row r="3034" spans="1:16" x14ac:dyDescent="0.35">
      <c r="A3034" s="3">
        <f xml:space="preserve"> ROW( data_scaledImpacts[[#This Row],[row_id]] ) - ROW( data_scaledImpacts[[#Headers],[row_id]] )</f>
        <v>3033</v>
      </c>
      <c r="B3034" s="41" t="str">
        <f xml:space="preserve"> _xlfn.TEXTJOIN( "", , data_scaledImpacts[[#This Row],[sector]:[impactType]] )</f>
        <v>VibrioHadGEM2-ES2 N/AMortality</v>
      </c>
      <c r="C3034" s="33" t="s">
        <v>1306</v>
      </c>
      <c r="D3034" s="33" t="s">
        <v>3</v>
      </c>
      <c r="E3034" s="34">
        <v>2</v>
      </c>
      <c r="F3034" s="34" t="s">
        <v>1312</v>
      </c>
      <c r="G3034" s="34" t="s">
        <v>201</v>
      </c>
      <c r="H3034" s="35" t="s">
        <v>768</v>
      </c>
      <c r="I3034" s="43"/>
      <c r="J3034" s="96"/>
      <c r="K3034" s="36">
        <v>2.13236750736368E-7</v>
      </c>
      <c r="L3034" s="37"/>
      <c r="M3034" s="36">
        <v>2.1359798351220299E-7</v>
      </c>
      <c r="N3034" s="36">
        <v>4.72026315385194E-7</v>
      </c>
      <c r="O3034" s="36">
        <v>2.26724765509018E-7</v>
      </c>
      <c r="P3034" s="110">
        <v>2.7004141992354701E-8</v>
      </c>
    </row>
    <row r="3035" spans="1:16" x14ac:dyDescent="0.35">
      <c r="A3035" s="3">
        <f xml:space="preserve"> ROW( data_scaledImpacts[[#This Row],[row_id]] ) - ROW( data_scaledImpacts[[#Headers],[row_id]] )</f>
        <v>3034</v>
      </c>
      <c r="B3035" s="41" t="str">
        <f xml:space="preserve"> _xlfn.TEXTJOIN( "", , data_scaledImpacts[[#This Row],[sector]:[impactType]] )</f>
        <v>VibrioHadGEM2-ES3 N/AMortality</v>
      </c>
      <c r="C3035" s="33" t="s">
        <v>1306</v>
      </c>
      <c r="D3035" s="33" t="s">
        <v>3</v>
      </c>
      <c r="E3035" s="34">
        <v>3</v>
      </c>
      <c r="F3035" s="34" t="s">
        <v>1312</v>
      </c>
      <c r="G3035" s="34" t="s">
        <v>201</v>
      </c>
      <c r="H3035" s="35" t="s">
        <v>768</v>
      </c>
      <c r="I3035" s="43"/>
      <c r="J3035" s="96"/>
      <c r="K3035" s="36">
        <v>3.2227867750383702E-7</v>
      </c>
      <c r="L3035" s="37"/>
      <c r="M3035" s="36">
        <v>3.11903914732165E-7</v>
      </c>
      <c r="N3035" s="36">
        <v>6.9233881108561904E-7</v>
      </c>
      <c r="O3035" s="36">
        <v>2.7055302471490402E-7</v>
      </c>
      <c r="P3035" s="110">
        <v>3.81373264247602E-8</v>
      </c>
    </row>
    <row r="3036" spans="1:16" x14ac:dyDescent="0.35">
      <c r="A3036" s="3">
        <f xml:space="preserve"> ROW( data_scaledImpacts[[#This Row],[row_id]] ) - ROW( data_scaledImpacts[[#Headers],[row_id]] )</f>
        <v>3035</v>
      </c>
      <c r="B3036" s="41" t="str">
        <f xml:space="preserve"> _xlfn.TEXTJOIN( "", , data_scaledImpacts[[#This Row],[sector]:[impactType]] )</f>
        <v>VibrioHadGEM2-ES4 N/AMortality</v>
      </c>
      <c r="C3036" s="33" t="s">
        <v>1306</v>
      </c>
      <c r="D3036" s="33" t="s">
        <v>3</v>
      </c>
      <c r="E3036" s="34">
        <v>4</v>
      </c>
      <c r="F3036" s="34" t="s">
        <v>1312</v>
      </c>
      <c r="G3036" s="34" t="s">
        <v>201</v>
      </c>
      <c r="H3036" s="35" t="s">
        <v>768</v>
      </c>
      <c r="I3036" s="43"/>
      <c r="J3036" s="96"/>
      <c r="K3036" s="36">
        <v>4.4477227955976197E-7</v>
      </c>
      <c r="L3036" s="37"/>
      <c r="M3036" s="36">
        <v>5.5991069692352804E-7</v>
      </c>
      <c r="N3036" s="36">
        <v>8.7341306854913405E-7</v>
      </c>
      <c r="O3036" s="36">
        <v>3.3035341130116201E-7</v>
      </c>
      <c r="P3036" s="110">
        <v>6.5844278610026703E-8</v>
      </c>
    </row>
    <row r="3037" spans="1:16" x14ac:dyDescent="0.35">
      <c r="A3037" s="3">
        <f xml:space="preserve"> ROW( data_scaledImpacts[[#This Row],[row_id]] ) - ROW( data_scaledImpacts[[#Headers],[row_id]] )</f>
        <v>3036</v>
      </c>
      <c r="B3037" s="41" t="str">
        <f xml:space="preserve"> _xlfn.TEXTJOIN( "", , data_scaledImpacts[[#This Row],[sector]:[impactType]] )</f>
        <v>VibrioHadGEM2-ES5 N/AMortality</v>
      </c>
      <c r="C3037" s="33" t="s">
        <v>1306</v>
      </c>
      <c r="D3037" s="33" t="s">
        <v>3</v>
      </c>
      <c r="E3037" s="34">
        <v>5</v>
      </c>
      <c r="F3037" s="34" t="s">
        <v>1312</v>
      </c>
      <c r="G3037" s="34" t="s">
        <v>201</v>
      </c>
      <c r="H3037" s="35" t="s">
        <v>768</v>
      </c>
      <c r="I3037" s="43"/>
      <c r="J3037" s="96"/>
      <c r="K3037" s="36">
        <v>5.8609817266604596E-7</v>
      </c>
      <c r="L3037" s="37"/>
      <c r="M3037" s="36">
        <v>8.0008685583750302E-7</v>
      </c>
      <c r="N3037" s="36">
        <v>1.0487515365027801E-6</v>
      </c>
      <c r="O3037" s="36">
        <v>3.7899118273987003E-7</v>
      </c>
      <c r="P3037" s="110">
        <v>8.1678081639196196E-8</v>
      </c>
    </row>
    <row r="3038" spans="1:16" x14ac:dyDescent="0.35">
      <c r="A3038" s="3">
        <f xml:space="preserve"> ROW( data_scaledImpacts[[#This Row],[row_id]] ) - ROW( data_scaledImpacts[[#Headers],[row_id]] )</f>
        <v>3037</v>
      </c>
      <c r="B3038" s="41" t="str">
        <f xml:space="preserve"> _xlfn.TEXTJOIN( "", , data_scaledImpacts[[#This Row],[sector]:[impactType]] )</f>
        <v>VibrioHadGEM2-ES6 N/AMortality</v>
      </c>
      <c r="C3038" s="33" t="s">
        <v>1306</v>
      </c>
      <c r="D3038" s="33" t="s">
        <v>3</v>
      </c>
      <c r="E3038" s="34">
        <v>6</v>
      </c>
      <c r="F3038" s="34" t="s">
        <v>1312</v>
      </c>
      <c r="G3038" s="34" t="s">
        <v>201</v>
      </c>
      <c r="H3038" s="35" t="s">
        <v>768</v>
      </c>
      <c r="I3038" s="43"/>
      <c r="J3038" s="96"/>
      <c r="K3038" s="36">
        <v>7.8379261011250895E-7</v>
      </c>
      <c r="L3038" s="37"/>
      <c r="M3038" s="36">
        <v>1.0880521494127699E-6</v>
      </c>
      <c r="N3038" s="36">
        <v>1.32040393511569E-6</v>
      </c>
      <c r="O3038" s="36">
        <v>4.6732697441415001E-7</v>
      </c>
      <c r="P3038" s="110">
        <v>1.00854813532335E-7</v>
      </c>
    </row>
    <row r="3039" spans="1:16" x14ac:dyDescent="0.35">
      <c r="A3039" s="3">
        <f xml:space="preserve"> ROW( data_scaledImpacts[[#This Row],[row_id]] ) - ROW( data_scaledImpacts[[#Headers],[row_id]] )</f>
        <v>3038</v>
      </c>
      <c r="B3039" s="41" t="str">
        <f xml:space="preserve"> _xlfn.TEXTJOIN( "", , data_scaledImpacts[[#This Row],[sector]:[impactType]] )</f>
        <v>VibrioMIROC51 N/AMortality</v>
      </c>
      <c r="C3039" s="33" t="s">
        <v>1306</v>
      </c>
      <c r="D3039" s="33" t="s">
        <v>4</v>
      </c>
      <c r="E3039" s="34">
        <v>1</v>
      </c>
      <c r="F3039" s="34" t="s">
        <v>1312</v>
      </c>
      <c r="G3039" s="34" t="s">
        <v>201</v>
      </c>
      <c r="H3039" s="35" t="s">
        <v>768</v>
      </c>
      <c r="I3039" s="43"/>
      <c r="J3039" s="96"/>
      <c r="K3039" s="36">
        <v>7.1504752245879402E-8</v>
      </c>
      <c r="L3039" s="37"/>
      <c r="M3039" s="36">
        <v>8.7119128625663906E-8</v>
      </c>
      <c r="N3039" s="36">
        <v>1.8556061155669501E-7</v>
      </c>
      <c r="O3039" s="36">
        <v>9.3370754630441703E-8</v>
      </c>
      <c r="P3039" s="110">
        <v>1.05774942388284E-8</v>
      </c>
    </row>
    <row r="3040" spans="1:16" x14ac:dyDescent="0.35">
      <c r="A3040" s="3">
        <f xml:space="preserve"> ROW( data_scaledImpacts[[#This Row],[row_id]] ) - ROW( data_scaledImpacts[[#Headers],[row_id]] )</f>
        <v>3039</v>
      </c>
      <c r="B3040" s="41" t="str">
        <f xml:space="preserve"> _xlfn.TEXTJOIN( "", , data_scaledImpacts[[#This Row],[sector]:[impactType]] )</f>
        <v>VibrioMIROC52 N/AMortality</v>
      </c>
      <c r="C3040" s="33" t="s">
        <v>1306</v>
      </c>
      <c r="D3040" s="33" t="s">
        <v>4</v>
      </c>
      <c r="E3040" s="34">
        <v>2</v>
      </c>
      <c r="F3040" s="34" t="s">
        <v>1312</v>
      </c>
      <c r="G3040" s="34" t="s">
        <v>201</v>
      </c>
      <c r="H3040" s="35" t="s">
        <v>768</v>
      </c>
      <c r="I3040" s="43"/>
      <c r="J3040" s="96"/>
      <c r="K3040" s="36">
        <v>1.6828385182708801E-7</v>
      </c>
      <c r="L3040" s="37"/>
      <c r="M3040" s="36">
        <v>1.33368610030982E-7</v>
      </c>
      <c r="N3040" s="36">
        <v>3.7116383658051E-7</v>
      </c>
      <c r="O3040" s="36">
        <v>1.8738564770543101E-7</v>
      </c>
      <c r="P3040" s="110">
        <v>2.3873501641603501E-8</v>
      </c>
    </row>
    <row r="3041" spans="1:16" x14ac:dyDescent="0.35">
      <c r="A3041" s="3">
        <f xml:space="preserve"> ROW( data_scaledImpacts[[#This Row],[row_id]] ) - ROW( data_scaledImpacts[[#Headers],[row_id]] )</f>
        <v>3040</v>
      </c>
      <c r="B3041" s="41" t="str">
        <f xml:space="preserve"> _xlfn.TEXTJOIN( "", , data_scaledImpacts[[#This Row],[sector]:[impactType]] )</f>
        <v>VibrioMIROC53 N/AMortality</v>
      </c>
      <c r="C3041" s="33" t="s">
        <v>1306</v>
      </c>
      <c r="D3041" s="33" t="s">
        <v>4</v>
      </c>
      <c r="E3041" s="34">
        <v>3</v>
      </c>
      <c r="F3041" s="34" t="s">
        <v>1312</v>
      </c>
      <c r="G3041" s="34" t="s">
        <v>201</v>
      </c>
      <c r="H3041" s="35" t="s">
        <v>768</v>
      </c>
      <c r="I3041" s="43"/>
      <c r="J3041" s="96"/>
      <c r="K3041" s="36">
        <v>2.7441624624996703E-7</v>
      </c>
      <c r="L3041" s="37"/>
      <c r="M3041" s="36">
        <v>2.21294033066992E-7</v>
      </c>
      <c r="N3041" s="36">
        <v>5.2575840569750495E-7</v>
      </c>
      <c r="O3041" s="36">
        <v>2.4491760550498198E-7</v>
      </c>
      <c r="P3041" s="110">
        <v>3.3770299009521699E-8</v>
      </c>
    </row>
    <row r="3042" spans="1:16" x14ac:dyDescent="0.35">
      <c r="A3042" s="3">
        <f xml:space="preserve"> ROW( data_scaledImpacts[[#This Row],[row_id]] ) - ROW( data_scaledImpacts[[#Headers],[row_id]] )</f>
        <v>3041</v>
      </c>
      <c r="B3042" s="41" t="str">
        <f xml:space="preserve"> _xlfn.TEXTJOIN( "", , data_scaledImpacts[[#This Row],[sector]:[impactType]] )</f>
        <v>VibrioMIROC54 N/AMortality</v>
      </c>
      <c r="C3042" s="33" t="s">
        <v>1306</v>
      </c>
      <c r="D3042" s="33" t="s">
        <v>4</v>
      </c>
      <c r="E3042" s="34">
        <v>4</v>
      </c>
      <c r="F3042" s="34" t="s">
        <v>1312</v>
      </c>
      <c r="G3042" s="34" t="s">
        <v>201</v>
      </c>
      <c r="H3042" s="35" t="s">
        <v>768</v>
      </c>
      <c r="I3042" s="43"/>
      <c r="J3042" s="96"/>
      <c r="K3042" s="36">
        <v>4.07813477553809E-7</v>
      </c>
      <c r="L3042" s="37"/>
      <c r="M3042" s="36">
        <v>3.7367343199756398E-7</v>
      </c>
      <c r="N3042" s="36">
        <v>7.2301636070356701E-7</v>
      </c>
      <c r="O3042" s="36">
        <v>3.0089337007061998E-7</v>
      </c>
      <c r="P3042" s="110">
        <v>4.2756755156852001E-8</v>
      </c>
    </row>
    <row r="3043" spans="1:16" x14ac:dyDescent="0.35">
      <c r="A3043" s="3">
        <f xml:space="preserve"> ROW( data_scaledImpacts[[#This Row],[row_id]] ) - ROW( data_scaledImpacts[[#Headers],[row_id]] )</f>
        <v>3042</v>
      </c>
      <c r="B3043" s="41" t="str">
        <f xml:space="preserve"> _xlfn.TEXTJOIN( "", , data_scaledImpacts[[#This Row],[sector]:[impactType]] )</f>
        <v>VibrioMIROC55 N/AMortality</v>
      </c>
      <c r="C3043" s="33" t="s">
        <v>1306</v>
      </c>
      <c r="D3043" s="33" t="s">
        <v>4</v>
      </c>
      <c r="E3043" s="34">
        <v>5</v>
      </c>
      <c r="F3043" s="34" t="s">
        <v>1312</v>
      </c>
      <c r="G3043" s="34" t="s">
        <v>201</v>
      </c>
      <c r="H3043" s="35" t="s">
        <v>768</v>
      </c>
      <c r="I3043" s="43"/>
      <c r="J3043" s="111"/>
      <c r="K3043" s="38">
        <v>4.77176254392512E-7</v>
      </c>
      <c r="L3043" s="39"/>
      <c r="M3043" s="38">
        <v>4.93516559634393E-7</v>
      </c>
      <c r="N3043" s="38">
        <v>9.34379870312712E-7</v>
      </c>
      <c r="O3043" s="38">
        <v>3.9243178580910201E-7</v>
      </c>
      <c r="P3043" s="110">
        <v>6.1340741179538897E-8</v>
      </c>
    </row>
    <row r="3044" spans="1:16" x14ac:dyDescent="0.35">
      <c r="A3044" s="153">
        <f xml:space="preserve"> ROW( data_scaledImpacts[[#This Row],[row_id]] ) - ROW( data_scaledImpacts[[#Headers],[row_id]] )</f>
        <v>3043</v>
      </c>
      <c r="B3044" s="154" t="str">
        <f xml:space="preserve"> _xlfn.TEXTJOIN( "", , data_scaledImpacts[[#This Row],[sector]:[impactType]] )</f>
        <v>MentalHealthCanESM21N/A</v>
      </c>
      <c r="C3044" s="155" t="s">
        <v>1313</v>
      </c>
      <c r="D3044" s="155" t="s">
        <v>0</v>
      </c>
      <c r="E3044" s="156">
        <v>1</v>
      </c>
      <c r="F3044" s="156"/>
      <c r="G3044" s="156" t="s">
        <v>201</v>
      </c>
      <c r="H3044" s="157"/>
      <c r="I3044" s="43" t="s">
        <v>35</v>
      </c>
      <c r="J3044" s="158">
        <v>1.0315599724368601E-6</v>
      </c>
      <c r="K3044" s="158">
        <v>9.00274666500048E-7</v>
      </c>
      <c r="L3044" s="158">
        <v>1.44220699560688E-6</v>
      </c>
      <c r="M3044" s="158">
        <v>1.0925868229822799E-6</v>
      </c>
      <c r="N3044" s="158">
        <v>1.1575291841931101E-6</v>
      </c>
      <c r="O3044" s="158">
        <v>9.2586501075180095E-7</v>
      </c>
      <c r="P3044" s="158">
        <v>6.3662710173823201E-7</v>
      </c>
    </row>
    <row r="3045" spans="1:16" x14ac:dyDescent="0.35">
      <c r="A3045" s="153">
        <f xml:space="preserve"> ROW( data_scaledImpacts[[#This Row],[row_id]] ) - ROW( data_scaledImpacts[[#Headers],[row_id]] )</f>
        <v>3044</v>
      </c>
      <c r="B3045" s="154" t="str">
        <f xml:space="preserve"> _xlfn.TEXTJOIN( "", , data_scaledImpacts[[#This Row],[sector]:[impactType]] )</f>
        <v>MentalHealthCCSM41N/A</v>
      </c>
      <c r="C3045" s="155" t="s">
        <v>1313</v>
      </c>
      <c r="D3045" s="155" t="s">
        <v>1</v>
      </c>
      <c r="E3045" s="156">
        <v>1</v>
      </c>
      <c r="F3045" s="156"/>
      <c r="G3045" s="156" t="s">
        <v>201</v>
      </c>
      <c r="H3045" s="157"/>
      <c r="I3045" s="43" t="s">
        <v>36</v>
      </c>
      <c r="J3045" s="158">
        <v>9.8706281130895096E-7</v>
      </c>
      <c r="K3045" s="158">
        <v>4.46883195024474E-7</v>
      </c>
      <c r="L3045" s="158">
        <v>1.5317070922423101E-6</v>
      </c>
      <c r="M3045" s="158">
        <v>7.78224776941392E-7</v>
      </c>
      <c r="N3045" s="158">
        <v>9.8655141919015304E-7</v>
      </c>
      <c r="O3045" s="158">
        <v>9.5116512971671102E-7</v>
      </c>
      <c r="P3045" s="158">
        <v>6.8473937758605595E-7</v>
      </c>
    </row>
    <row r="3046" spans="1:16" x14ac:dyDescent="0.35">
      <c r="A3046" s="153">
        <f xml:space="preserve"> ROW( data_scaledImpacts[[#This Row],[row_id]] ) - ROW( data_scaledImpacts[[#Headers],[row_id]] )</f>
        <v>3045</v>
      </c>
      <c r="B3046" s="154" t="str">
        <f xml:space="preserve"> _xlfn.TEXTJOIN( "", , data_scaledImpacts[[#This Row],[sector]:[impactType]] )</f>
        <v>MentalHealthGISS-E2-R1N/A</v>
      </c>
      <c r="C3046" s="155" t="s">
        <v>1313</v>
      </c>
      <c r="D3046" s="155" t="s">
        <v>2</v>
      </c>
      <c r="E3046" s="156">
        <v>1</v>
      </c>
      <c r="F3046" s="156"/>
      <c r="G3046" s="156" t="s">
        <v>201</v>
      </c>
      <c r="H3046" s="157"/>
      <c r="I3046" s="43" t="s">
        <v>37</v>
      </c>
      <c r="J3046" s="158">
        <v>1.03857396000779E-6</v>
      </c>
      <c r="K3046" s="158">
        <v>8.1174710187318495E-7</v>
      </c>
      <c r="L3046" s="158">
        <v>1.18234848214089E-6</v>
      </c>
      <c r="M3046" s="158">
        <v>8.1993462129115296E-7</v>
      </c>
      <c r="N3046" s="158">
        <v>9.4214417382120298E-7</v>
      </c>
      <c r="O3046" s="158">
        <v>7.4682429925833196E-7</v>
      </c>
      <c r="P3046" s="158">
        <v>5.6271666791335195E-7</v>
      </c>
    </row>
    <row r="3047" spans="1:16" x14ac:dyDescent="0.35">
      <c r="A3047" s="153">
        <f xml:space="preserve"> ROW( data_scaledImpacts[[#This Row],[row_id]] ) - ROW( data_scaledImpacts[[#Headers],[row_id]] )</f>
        <v>3046</v>
      </c>
      <c r="B3047" s="154" t="str">
        <f xml:space="preserve"> _xlfn.TEXTJOIN( "", , data_scaledImpacts[[#This Row],[sector]:[impactType]] )</f>
        <v>MentalHealthHadGEM2-ES1N/A</v>
      </c>
      <c r="C3047" s="155" t="s">
        <v>1313</v>
      </c>
      <c r="D3047" s="155" t="s">
        <v>3</v>
      </c>
      <c r="E3047" s="156">
        <v>1</v>
      </c>
      <c r="F3047" s="156"/>
      <c r="G3047" s="156" t="s">
        <v>201</v>
      </c>
      <c r="H3047" s="157"/>
      <c r="I3047" s="43" t="s">
        <v>38</v>
      </c>
      <c r="J3047" s="158">
        <v>1.38119576605944E-6</v>
      </c>
      <c r="K3047" s="158">
        <v>7.8213051941838902E-7</v>
      </c>
      <c r="L3047" s="158">
        <v>1.3297270499253301E-6</v>
      </c>
      <c r="M3047" s="158">
        <v>1.0000767306842301E-6</v>
      </c>
      <c r="N3047" s="158">
        <v>1.55990552056978E-6</v>
      </c>
      <c r="O3047" s="158">
        <v>1.00515296546719E-6</v>
      </c>
      <c r="P3047" s="158">
        <v>4.2497204570099201E-7</v>
      </c>
    </row>
    <row r="3048" spans="1:16" x14ac:dyDescent="0.35">
      <c r="A3048" s="153">
        <f xml:space="preserve"> ROW( data_scaledImpacts[[#This Row],[row_id]] ) - ROW( data_scaledImpacts[[#Headers],[row_id]] )</f>
        <v>3047</v>
      </c>
      <c r="B3048" s="154" t="str">
        <f xml:space="preserve"> _xlfn.TEXTJOIN( "", , data_scaledImpacts[[#This Row],[sector]:[impactType]] )</f>
        <v>MentalHealthMIROC51N/A</v>
      </c>
      <c r="C3048" s="155" t="s">
        <v>1313</v>
      </c>
      <c r="D3048" s="155" t="s">
        <v>4</v>
      </c>
      <c r="E3048" s="156">
        <v>1</v>
      </c>
      <c r="F3048" s="156"/>
      <c r="G3048" s="156" t="s">
        <v>201</v>
      </c>
      <c r="H3048" s="157"/>
      <c r="I3048" s="43" t="s">
        <v>39</v>
      </c>
      <c r="J3048" s="158">
        <v>1.26277402985774E-6</v>
      </c>
      <c r="K3048" s="158">
        <v>6.93124264389868E-7</v>
      </c>
      <c r="L3048" s="158">
        <v>1.4691375528733E-6</v>
      </c>
      <c r="M3048" s="158">
        <v>8.17589061866712E-7</v>
      </c>
      <c r="N3048" s="158">
        <v>1.04995881745812E-6</v>
      </c>
      <c r="O3048" s="158">
        <v>1.0677869624575201E-6</v>
      </c>
      <c r="P3048" s="158">
        <v>5.2220455412749101E-7</v>
      </c>
    </row>
    <row r="3049" spans="1:16" x14ac:dyDescent="0.35">
      <c r="A3049" s="153">
        <f xml:space="preserve"> ROW( data_scaledImpacts[[#This Row],[row_id]] ) - ROW( data_scaledImpacts[[#Headers],[row_id]] )</f>
        <v>3048</v>
      </c>
      <c r="B3049" s="154" t="str">
        <f xml:space="preserve"> _xlfn.TEXTJOIN( "", , data_scaledImpacts[[#This Row],[sector]:[impactType]] )</f>
        <v>MentalHealthGFDL-CM31N/A</v>
      </c>
      <c r="C3049" s="155" t="s">
        <v>1313</v>
      </c>
      <c r="D3049" s="155" t="s">
        <v>5</v>
      </c>
      <c r="E3049" s="156">
        <v>1</v>
      </c>
      <c r="F3049" s="156"/>
      <c r="G3049" s="156" t="s">
        <v>201</v>
      </c>
      <c r="H3049" s="157"/>
      <c r="I3049" s="43" t="s">
        <v>40</v>
      </c>
      <c r="J3049" s="158">
        <v>1.2341455296722101E-6</v>
      </c>
      <c r="K3049" s="158">
        <v>9.8467473195739308E-7</v>
      </c>
      <c r="L3049" s="158">
        <v>1.10988665751692E-6</v>
      </c>
      <c r="M3049" s="158">
        <v>7.8461084413817503E-7</v>
      </c>
      <c r="N3049" s="158">
        <v>1.44784364771026E-6</v>
      </c>
      <c r="O3049" s="158">
        <v>1.1682202347350601E-6</v>
      </c>
      <c r="P3049" s="158">
        <v>6.4826954093682505E-7</v>
      </c>
    </row>
    <row r="3050" spans="1:16" x14ac:dyDescent="0.35">
      <c r="A3050" s="153">
        <f xml:space="preserve"> ROW( data_scaledImpacts[[#This Row],[row_id]] ) - ROW( data_scaledImpacts[[#Headers],[row_id]] )</f>
        <v>3049</v>
      </c>
      <c r="B3050" s="154" t="str">
        <f xml:space="preserve"> _xlfn.TEXTJOIN( "", , data_scaledImpacts[[#This Row],[sector]:[impactType]] )</f>
        <v>MentalHealthCanESM22N/A</v>
      </c>
      <c r="C3050" s="155" t="s">
        <v>1313</v>
      </c>
      <c r="D3050" s="155" t="s">
        <v>0</v>
      </c>
      <c r="E3050" s="156">
        <v>2</v>
      </c>
      <c r="F3050" s="156"/>
      <c r="G3050" s="156" t="s">
        <v>201</v>
      </c>
      <c r="H3050" s="157"/>
      <c r="I3050" s="43" t="s">
        <v>42</v>
      </c>
      <c r="J3050" s="158">
        <v>2.13536397990104E-6</v>
      </c>
      <c r="K3050" s="158">
        <v>1.62549002650928E-6</v>
      </c>
      <c r="L3050" s="158">
        <v>2.88957156417848E-6</v>
      </c>
      <c r="M3050" s="158">
        <v>2.0212046900962599E-6</v>
      </c>
      <c r="N3050" s="158">
        <v>2.2271108478441199E-6</v>
      </c>
      <c r="O3050" s="158">
        <v>1.71198823450821E-6</v>
      </c>
      <c r="P3050" s="158">
        <v>1.75334102386797E-6</v>
      </c>
    </row>
    <row r="3051" spans="1:16" x14ac:dyDescent="0.35">
      <c r="A3051" s="153">
        <f xml:space="preserve"> ROW( data_scaledImpacts[[#This Row],[row_id]] ) - ROW( data_scaledImpacts[[#Headers],[row_id]] )</f>
        <v>3050</v>
      </c>
      <c r="B3051" s="154" t="str">
        <f xml:space="preserve"> _xlfn.TEXTJOIN( "", , data_scaledImpacts[[#This Row],[sector]:[impactType]] )</f>
        <v>MentalHealthCCSM42N/A</v>
      </c>
      <c r="C3051" s="155" t="s">
        <v>1313</v>
      </c>
      <c r="D3051" s="155" t="s">
        <v>1</v>
      </c>
      <c r="E3051" s="156">
        <v>2</v>
      </c>
      <c r="F3051" s="156"/>
      <c r="G3051" s="156" t="s">
        <v>201</v>
      </c>
      <c r="H3051" s="157"/>
      <c r="I3051" s="43" t="s">
        <v>43</v>
      </c>
      <c r="J3051" s="158">
        <v>2.0442209946754101E-6</v>
      </c>
      <c r="K3051" s="158">
        <v>1.22551059476826E-6</v>
      </c>
      <c r="L3051" s="158">
        <v>3.15421346331494E-6</v>
      </c>
      <c r="M3051" s="158">
        <v>1.7792889187798199E-6</v>
      </c>
      <c r="N3051" s="158">
        <v>1.9815401746286999E-6</v>
      </c>
      <c r="O3051" s="158">
        <v>2.0430296856070801E-6</v>
      </c>
      <c r="P3051" s="158">
        <v>1.71208968118994E-6</v>
      </c>
    </row>
    <row r="3052" spans="1:16" x14ac:dyDescent="0.35">
      <c r="A3052" s="153">
        <f xml:space="preserve"> ROW( data_scaledImpacts[[#This Row],[row_id]] ) - ROW( data_scaledImpacts[[#Headers],[row_id]] )</f>
        <v>3051</v>
      </c>
      <c r="B3052" s="154" t="str">
        <f xml:space="preserve"> _xlfn.TEXTJOIN( "", , data_scaledImpacts[[#This Row],[sector]:[impactType]] )</f>
        <v>MentalHealthGISS-E2-R2N/A</v>
      </c>
      <c r="C3052" s="155" t="s">
        <v>1313</v>
      </c>
      <c r="D3052" s="155" t="s">
        <v>2</v>
      </c>
      <c r="E3052" s="156">
        <v>2</v>
      </c>
      <c r="F3052" s="156"/>
      <c r="G3052" s="156" t="s">
        <v>201</v>
      </c>
      <c r="H3052" s="157"/>
      <c r="I3052" s="43" t="s">
        <v>44</v>
      </c>
      <c r="J3052" s="158">
        <v>2.3224787199915501E-6</v>
      </c>
      <c r="K3052" s="158">
        <v>1.66388930710916E-6</v>
      </c>
      <c r="L3052" s="158">
        <v>2.16713431364092E-6</v>
      </c>
      <c r="M3052" s="158">
        <v>1.47723611844647E-6</v>
      </c>
      <c r="N3052" s="158">
        <v>2.1599302296556299E-6</v>
      </c>
      <c r="O3052" s="158">
        <v>1.71725734226448E-6</v>
      </c>
      <c r="P3052" s="158">
        <v>1.5253181118988099E-6</v>
      </c>
    </row>
    <row r="3053" spans="1:16" x14ac:dyDescent="0.35">
      <c r="A3053" s="153">
        <f xml:space="preserve"> ROW( data_scaledImpacts[[#This Row],[row_id]] ) - ROW( data_scaledImpacts[[#Headers],[row_id]] )</f>
        <v>3052</v>
      </c>
      <c r="B3053" s="154" t="str">
        <f xml:space="preserve"> _xlfn.TEXTJOIN( "", , data_scaledImpacts[[#This Row],[sector]:[impactType]] )</f>
        <v>MentalHealthHadGEM2-ES2N/A</v>
      </c>
      <c r="C3053" s="155" t="s">
        <v>1313</v>
      </c>
      <c r="D3053" s="155" t="s">
        <v>3</v>
      </c>
      <c r="E3053" s="156">
        <v>2</v>
      </c>
      <c r="F3053" s="156"/>
      <c r="G3053" s="156" t="s">
        <v>201</v>
      </c>
      <c r="H3053" s="157"/>
      <c r="I3053" s="43" t="s">
        <v>45</v>
      </c>
      <c r="J3053" s="158">
        <v>2.32769561699138E-6</v>
      </c>
      <c r="K3053" s="158">
        <v>1.3037612767617601E-6</v>
      </c>
      <c r="L3053" s="158">
        <v>3.0451619993316299E-6</v>
      </c>
      <c r="M3053" s="158">
        <v>1.73677469213223E-6</v>
      </c>
      <c r="N3053" s="158">
        <v>2.27393134843756E-6</v>
      </c>
      <c r="O3053" s="158">
        <v>2.0253344198638499E-6</v>
      </c>
      <c r="P3053" s="158">
        <v>1.35436692750194E-6</v>
      </c>
    </row>
    <row r="3054" spans="1:16" x14ac:dyDescent="0.35">
      <c r="A3054" s="153">
        <f xml:space="preserve"> ROW( data_scaledImpacts[[#This Row],[row_id]] ) - ROW( data_scaledImpacts[[#Headers],[row_id]] )</f>
        <v>3053</v>
      </c>
      <c r="B3054" s="154" t="str">
        <f xml:space="preserve"> _xlfn.TEXTJOIN( "", , data_scaledImpacts[[#This Row],[sector]:[impactType]] )</f>
        <v>MentalHealthMIROC52N/A</v>
      </c>
      <c r="C3054" s="155" t="s">
        <v>1313</v>
      </c>
      <c r="D3054" s="155" t="s">
        <v>4</v>
      </c>
      <c r="E3054" s="156">
        <v>2</v>
      </c>
      <c r="F3054" s="156"/>
      <c r="G3054" s="156" t="s">
        <v>201</v>
      </c>
      <c r="H3054" s="157"/>
      <c r="I3054" s="43" t="s">
        <v>46</v>
      </c>
      <c r="J3054" s="158">
        <v>2.3282370632057302E-6</v>
      </c>
      <c r="K3054" s="158">
        <v>1.5251496162997601E-6</v>
      </c>
      <c r="L3054" s="158">
        <v>3.1586609072517599E-6</v>
      </c>
      <c r="M3054" s="158">
        <v>1.2625520204059399E-6</v>
      </c>
      <c r="N3054" s="158">
        <v>1.99537513140577E-6</v>
      </c>
      <c r="O3054" s="158">
        <v>2.0140387182769901E-6</v>
      </c>
      <c r="P3054" s="158">
        <v>1.37960630840358E-6</v>
      </c>
    </row>
    <row r="3055" spans="1:16" x14ac:dyDescent="0.35">
      <c r="A3055" s="153">
        <f xml:space="preserve"> ROW( data_scaledImpacts[[#This Row],[row_id]] ) - ROW( data_scaledImpacts[[#Headers],[row_id]] )</f>
        <v>3054</v>
      </c>
      <c r="B3055" s="154" t="str">
        <f xml:space="preserve"> _xlfn.TEXTJOIN( "", , data_scaledImpacts[[#This Row],[sector]:[impactType]] )</f>
        <v>MentalHealthGFDL-CM32N/A</v>
      </c>
      <c r="C3055" s="155" t="s">
        <v>1313</v>
      </c>
      <c r="D3055" s="155" t="s">
        <v>5</v>
      </c>
      <c r="E3055" s="156">
        <v>2</v>
      </c>
      <c r="F3055" s="156"/>
      <c r="G3055" s="156" t="s">
        <v>201</v>
      </c>
      <c r="H3055" s="157"/>
      <c r="I3055" s="43" t="s">
        <v>47</v>
      </c>
      <c r="J3055" s="158">
        <v>2.1742694275354398E-6</v>
      </c>
      <c r="K3055" s="158">
        <v>1.78497624782788E-6</v>
      </c>
      <c r="L3055" s="158">
        <v>2.4063584944713501E-6</v>
      </c>
      <c r="M3055" s="158">
        <v>1.49548807720624E-6</v>
      </c>
      <c r="N3055" s="158">
        <v>2.43050814134114E-6</v>
      </c>
      <c r="O3055" s="158">
        <v>1.8978081102564101E-6</v>
      </c>
      <c r="P3055" s="158">
        <v>1.47232092991934E-6</v>
      </c>
    </row>
    <row r="3056" spans="1:16" x14ac:dyDescent="0.35">
      <c r="A3056" s="153">
        <f xml:space="preserve"> ROW( data_scaledImpacts[[#This Row],[row_id]] ) - ROW( data_scaledImpacts[[#Headers],[row_id]] )</f>
        <v>3055</v>
      </c>
      <c r="B3056" s="154" t="str">
        <f xml:space="preserve"> _xlfn.TEXTJOIN( "", , data_scaledImpacts[[#This Row],[sector]:[impactType]] )</f>
        <v>MentalHealthCanESM23N/A</v>
      </c>
      <c r="C3056" s="155" t="s">
        <v>1313</v>
      </c>
      <c r="D3056" s="155" t="s">
        <v>0</v>
      </c>
      <c r="E3056" s="156">
        <v>3</v>
      </c>
      <c r="F3056" s="156"/>
      <c r="G3056" s="156" t="s">
        <v>201</v>
      </c>
      <c r="H3056" s="157"/>
      <c r="I3056" s="43" t="s">
        <v>49</v>
      </c>
      <c r="J3056" s="158">
        <v>2.9399972586326102E-6</v>
      </c>
      <c r="K3056" s="158">
        <v>2.3241207215422798E-6</v>
      </c>
      <c r="L3056" s="158">
        <v>4.2930927109804098E-6</v>
      </c>
      <c r="M3056" s="158">
        <v>3.0360403405162802E-6</v>
      </c>
      <c r="N3056" s="158">
        <v>3.05891990639274E-6</v>
      </c>
      <c r="O3056" s="158">
        <v>2.5214211660245301E-6</v>
      </c>
      <c r="P3056" s="158">
        <v>2.6158356874145599E-6</v>
      </c>
    </row>
    <row r="3057" spans="1:16" x14ac:dyDescent="0.35">
      <c r="A3057" s="153">
        <f xml:space="preserve"> ROW( data_scaledImpacts[[#This Row],[row_id]] ) - ROW( data_scaledImpacts[[#Headers],[row_id]] )</f>
        <v>3056</v>
      </c>
      <c r="B3057" s="154" t="str">
        <f xml:space="preserve"> _xlfn.TEXTJOIN( "", , data_scaledImpacts[[#This Row],[sector]:[impactType]] )</f>
        <v>MentalHealthCCSM43N/A</v>
      </c>
      <c r="C3057" s="155" t="s">
        <v>1313</v>
      </c>
      <c r="D3057" s="155" t="s">
        <v>1</v>
      </c>
      <c r="E3057" s="156">
        <v>3</v>
      </c>
      <c r="F3057" s="156"/>
      <c r="G3057" s="156" t="s">
        <v>201</v>
      </c>
      <c r="H3057" s="157"/>
      <c r="I3057" s="43" t="s">
        <v>50</v>
      </c>
      <c r="J3057" s="158">
        <v>3.4161784871002798E-6</v>
      </c>
      <c r="K3057" s="158">
        <v>2.1592452447156698E-6</v>
      </c>
      <c r="L3057" s="158">
        <v>4.5396143546783403E-6</v>
      </c>
      <c r="M3057" s="158">
        <v>2.6815914511733401E-6</v>
      </c>
      <c r="N3057" s="158">
        <v>3.0174540660837198E-6</v>
      </c>
      <c r="O3057" s="158">
        <v>2.7540065465777799E-6</v>
      </c>
      <c r="P3057" s="158">
        <v>2.2925055136322199E-6</v>
      </c>
    </row>
    <row r="3058" spans="1:16" x14ac:dyDescent="0.35">
      <c r="A3058" s="153">
        <f xml:space="preserve"> ROW( data_scaledImpacts[[#This Row],[row_id]] ) - ROW( data_scaledImpacts[[#Headers],[row_id]] )</f>
        <v>3057</v>
      </c>
      <c r="B3058" s="154" t="str">
        <f xml:space="preserve"> _xlfn.TEXTJOIN( "", , data_scaledImpacts[[#This Row],[sector]:[impactType]] )</f>
        <v>MentalHealthGISS-E2-R3N/A</v>
      </c>
      <c r="C3058" s="155" t="s">
        <v>1313</v>
      </c>
      <c r="D3058" s="155" t="s">
        <v>2</v>
      </c>
      <c r="E3058" s="156">
        <v>3</v>
      </c>
      <c r="F3058" s="156"/>
      <c r="G3058" s="156" t="s">
        <v>201</v>
      </c>
      <c r="H3058" s="157"/>
      <c r="I3058" s="43" t="s">
        <v>51</v>
      </c>
      <c r="J3058" s="158">
        <v>3.62448292911544E-6</v>
      </c>
      <c r="K3058" s="158">
        <v>2.50248781954517E-6</v>
      </c>
      <c r="L3058" s="158">
        <v>4.0323157695130498E-6</v>
      </c>
      <c r="M3058" s="158">
        <v>2.0058922611784299E-6</v>
      </c>
      <c r="N3058" s="158">
        <v>3.3852473124851401E-6</v>
      </c>
      <c r="O3058" s="158">
        <v>2.64597046724359E-6</v>
      </c>
      <c r="P3058" s="158">
        <v>2.49956247978862E-6</v>
      </c>
    </row>
    <row r="3059" spans="1:16" x14ac:dyDescent="0.35">
      <c r="A3059" s="153">
        <f xml:space="preserve"> ROW( data_scaledImpacts[[#This Row],[row_id]] ) - ROW( data_scaledImpacts[[#Headers],[row_id]] )</f>
        <v>3058</v>
      </c>
      <c r="B3059" s="154" t="str">
        <f xml:space="preserve"> _xlfn.TEXTJOIN( "", , data_scaledImpacts[[#This Row],[sector]:[impactType]] )</f>
        <v>MentalHealthHadGEM2-ES3N/A</v>
      </c>
      <c r="C3059" s="155" t="s">
        <v>1313</v>
      </c>
      <c r="D3059" s="155" t="s">
        <v>3</v>
      </c>
      <c r="E3059" s="156">
        <v>3</v>
      </c>
      <c r="F3059" s="156"/>
      <c r="G3059" s="156" t="s">
        <v>201</v>
      </c>
      <c r="H3059" s="157"/>
      <c r="I3059" s="43" t="s">
        <v>52</v>
      </c>
      <c r="J3059" s="158">
        <v>3.9476485923437804E-6</v>
      </c>
      <c r="K3059" s="158">
        <v>2.3785147848606101E-6</v>
      </c>
      <c r="L3059" s="158">
        <v>4.4325418215016996E-6</v>
      </c>
      <c r="M3059" s="158">
        <v>2.3190388681162101E-6</v>
      </c>
      <c r="N3059" s="158">
        <v>3.4617896456527499E-6</v>
      </c>
      <c r="O3059" s="158">
        <v>2.82256198660454E-6</v>
      </c>
      <c r="P3059" s="158">
        <v>2.04824454694188E-6</v>
      </c>
    </row>
    <row r="3060" spans="1:16" x14ac:dyDescent="0.35">
      <c r="A3060" s="153">
        <f xml:space="preserve"> ROW( data_scaledImpacts[[#This Row],[row_id]] ) - ROW( data_scaledImpacts[[#Headers],[row_id]] )</f>
        <v>3059</v>
      </c>
      <c r="B3060" s="154" t="str">
        <f xml:space="preserve"> _xlfn.TEXTJOIN( "", , data_scaledImpacts[[#This Row],[sector]:[impactType]] )</f>
        <v>MentalHealthMIROC53N/A</v>
      </c>
      <c r="C3060" s="155" t="s">
        <v>1313</v>
      </c>
      <c r="D3060" s="155" t="s">
        <v>4</v>
      </c>
      <c r="E3060" s="156">
        <v>3</v>
      </c>
      <c r="F3060" s="156"/>
      <c r="G3060" s="156" t="s">
        <v>201</v>
      </c>
      <c r="H3060" s="157"/>
      <c r="I3060" s="43" t="s">
        <v>53</v>
      </c>
      <c r="J3060" s="158">
        <v>3.3310021735115301E-6</v>
      </c>
      <c r="K3060" s="158">
        <v>2.4601580262096599E-6</v>
      </c>
      <c r="L3060" s="158">
        <v>4.2312345159663301E-6</v>
      </c>
      <c r="M3060" s="158">
        <v>1.92674530643165E-6</v>
      </c>
      <c r="N3060" s="158">
        <v>2.9472755380250499E-6</v>
      </c>
      <c r="O3060" s="158">
        <v>2.8340576651820102E-6</v>
      </c>
      <c r="P3060" s="158">
        <v>2.1934970299126199E-6</v>
      </c>
    </row>
    <row r="3061" spans="1:16" x14ac:dyDescent="0.35">
      <c r="A3061" s="153">
        <f xml:space="preserve"> ROW( data_scaledImpacts[[#This Row],[row_id]] ) - ROW( data_scaledImpacts[[#Headers],[row_id]] )</f>
        <v>3060</v>
      </c>
      <c r="B3061" s="154" t="str">
        <f xml:space="preserve"> _xlfn.TEXTJOIN( "", , data_scaledImpacts[[#This Row],[sector]:[impactType]] )</f>
        <v>MentalHealthGFDL-CM33N/A</v>
      </c>
      <c r="C3061" s="155" t="s">
        <v>1313</v>
      </c>
      <c r="D3061" s="155" t="s">
        <v>5</v>
      </c>
      <c r="E3061" s="156">
        <v>3</v>
      </c>
      <c r="F3061" s="156"/>
      <c r="G3061" s="156" t="s">
        <v>201</v>
      </c>
      <c r="H3061" s="157"/>
      <c r="I3061" s="43" t="s">
        <v>54</v>
      </c>
      <c r="J3061" s="158">
        <v>3.1274515707293102E-6</v>
      </c>
      <c r="K3061" s="158">
        <v>2.6149402086381901E-6</v>
      </c>
      <c r="L3061" s="158">
        <v>3.9230517507746001E-6</v>
      </c>
      <c r="M3061" s="158">
        <v>2.6606243535879299E-6</v>
      </c>
      <c r="N3061" s="158">
        <v>3.27521759705798E-6</v>
      </c>
      <c r="O3061" s="158">
        <v>2.6096301691045502E-6</v>
      </c>
      <c r="P3061" s="158">
        <v>2.6632938469340401E-6</v>
      </c>
    </row>
    <row r="3062" spans="1:16" x14ac:dyDescent="0.35">
      <c r="A3062" s="153">
        <f xml:space="preserve"> ROW( data_scaledImpacts[[#This Row],[row_id]] ) - ROW( data_scaledImpacts[[#Headers],[row_id]] )</f>
        <v>3061</v>
      </c>
      <c r="B3062" s="154" t="str">
        <f xml:space="preserve"> _xlfn.TEXTJOIN( "", , data_scaledImpacts[[#This Row],[sector]:[impactType]] )</f>
        <v>MentalHealthCanESM24N/A</v>
      </c>
      <c r="C3062" s="155" t="s">
        <v>1313</v>
      </c>
      <c r="D3062" s="155" t="s">
        <v>0</v>
      </c>
      <c r="E3062" s="156">
        <v>4</v>
      </c>
      <c r="F3062" s="156"/>
      <c r="G3062" s="156" t="s">
        <v>201</v>
      </c>
      <c r="H3062" s="157"/>
      <c r="I3062" s="43" t="s">
        <v>56</v>
      </c>
      <c r="J3062" s="158">
        <v>4.0015780009356603E-6</v>
      </c>
      <c r="K3062" s="158">
        <v>3.2187202879303998E-6</v>
      </c>
      <c r="L3062" s="158">
        <v>5.5960206215765597E-6</v>
      </c>
      <c r="M3062" s="158">
        <v>4.2149295314972403E-6</v>
      </c>
      <c r="N3062" s="158">
        <v>3.96551992944835E-6</v>
      </c>
      <c r="O3062" s="158">
        <v>3.2897895345650499E-6</v>
      </c>
      <c r="P3062" s="158">
        <v>3.5958490503238201E-6</v>
      </c>
    </row>
    <row r="3063" spans="1:16" x14ac:dyDescent="0.35">
      <c r="A3063" s="153">
        <f xml:space="preserve"> ROW( data_scaledImpacts[[#This Row],[row_id]] ) - ROW( data_scaledImpacts[[#Headers],[row_id]] )</f>
        <v>3062</v>
      </c>
      <c r="B3063" s="154" t="str">
        <f xml:space="preserve"> _xlfn.TEXTJOIN( "", , data_scaledImpacts[[#This Row],[sector]:[impactType]] )</f>
        <v>MentalHealthCCSM44N/A</v>
      </c>
      <c r="C3063" s="155" t="s">
        <v>1313</v>
      </c>
      <c r="D3063" s="155" t="s">
        <v>1</v>
      </c>
      <c r="E3063" s="156">
        <v>4</v>
      </c>
      <c r="F3063" s="156"/>
      <c r="G3063" s="156" t="s">
        <v>201</v>
      </c>
      <c r="H3063" s="157"/>
      <c r="I3063" s="43" t="s">
        <v>57</v>
      </c>
      <c r="J3063" s="158">
        <v>4.3715410584054002E-6</v>
      </c>
      <c r="K3063" s="158">
        <v>2.9578686840773701E-6</v>
      </c>
      <c r="L3063" s="158">
        <v>6.1871454519376598E-6</v>
      </c>
      <c r="M3063" s="158">
        <v>3.68680389733305E-6</v>
      </c>
      <c r="N3063" s="158">
        <v>3.9154289793190604E-6</v>
      </c>
      <c r="O3063" s="158">
        <v>3.2674294797566898E-6</v>
      </c>
      <c r="P3063" s="158">
        <v>3.1537534291977599E-6</v>
      </c>
    </row>
    <row r="3064" spans="1:16" x14ac:dyDescent="0.35">
      <c r="A3064" s="153">
        <f xml:space="preserve"> ROW( data_scaledImpacts[[#This Row],[row_id]] ) - ROW( data_scaledImpacts[[#Headers],[row_id]] )</f>
        <v>3063</v>
      </c>
      <c r="B3064" s="154" t="str">
        <f xml:space="preserve"> _xlfn.TEXTJOIN( "", , data_scaledImpacts[[#This Row],[sector]:[impactType]] )</f>
        <v>MentalHealthHadGEM2-ES4N/A</v>
      </c>
      <c r="C3064" s="155" t="s">
        <v>1313</v>
      </c>
      <c r="D3064" s="155" t="s">
        <v>3</v>
      </c>
      <c r="E3064" s="156">
        <v>4</v>
      </c>
      <c r="F3064" s="156"/>
      <c r="G3064" s="156" t="s">
        <v>201</v>
      </c>
      <c r="H3064" s="157"/>
      <c r="I3064" s="43" t="s">
        <v>59</v>
      </c>
      <c r="J3064" s="158">
        <v>4.8085094113066701E-6</v>
      </c>
      <c r="K3064" s="158">
        <v>3.1274430717028002E-6</v>
      </c>
      <c r="L3064" s="158">
        <v>5.8540438024697997E-6</v>
      </c>
      <c r="M3064" s="158">
        <v>3.5729039695235701E-6</v>
      </c>
      <c r="N3064" s="158">
        <v>4.1827600222603297E-6</v>
      </c>
      <c r="O3064" s="158">
        <v>3.4169724162123998E-6</v>
      </c>
      <c r="P3064" s="158">
        <v>3.1837382695439302E-6</v>
      </c>
    </row>
    <row r="3065" spans="1:16" x14ac:dyDescent="0.35">
      <c r="A3065" s="153">
        <f xml:space="preserve"> ROW( data_scaledImpacts[[#This Row],[row_id]] ) - ROW( data_scaledImpacts[[#Headers],[row_id]] )</f>
        <v>3064</v>
      </c>
      <c r="B3065" s="154" t="str">
        <f xml:space="preserve"> _xlfn.TEXTJOIN( "", , data_scaledImpacts[[#This Row],[sector]:[impactType]] )</f>
        <v>MentalHealthMIROC54N/A</v>
      </c>
      <c r="C3065" s="155" t="s">
        <v>1313</v>
      </c>
      <c r="D3065" s="155" t="s">
        <v>4</v>
      </c>
      <c r="E3065" s="156">
        <v>4</v>
      </c>
      <c r="F3065" s="156"/>
      <c r="G3065" s="156" t="s">
        <v>201</v>
      </c>
      <c r="H3065" s="157"/>
      <c r="I3065" s="43" t="s">
        <v>60</v>
      </c>
      <c r="J3065" s="158">
        <v>4.8626604300137599E-6</v>
      </c>
      <c r="K3065" s="158">
        <v>3.3856093850130501E-6</v>
      </c>
      <c r="L3065" s="158">
        <v>6.3967348199207497E-6</v>
      </c>
      <c r="M3065" s="158">
        <v>2.8332322523175098E-6</v>
      </c>
      <c r="N3065" s="158">
        <v>3.8287840926055803E-6</v>
      </c>
      <c r="O3065" s="158">
        <v>3.5644237047473801E-6</v>
      </c>
      <c r="P3065" s="158">
        <v>2.8376164973507502E-6</v>
      </c>
    </row>
    <row r="3066" spans="1:16" x14ac:dyDescent="0.35">
      <c r="A3066" s="153">
        <f xml:space="preserve"> ROW( data_scaledImpacts[[#This Row],[row_id]] ) - ROW( data_scaledImpacts[[#Headers],[row_id]] )</f>
        <v>3065</v>
      </c>
      <c r="B3066" s="154" t="str">
        <f xml:space="preserve"> _xlfn.TEXTJOIN( "", , data_scaledImpacts[[#This Row],[sector]:[impactType]] )</f>
        <v>MentalHealthGFDL-CM34N/A</v>
      </c>
      <c r="C3066" s="155" t="s">
        <v>1313</v>
      </c>
      <c r="D3066" s="155" t="s">
        <v>5</v>
      </c>
      <c r="E3066" s="156">
        <v>4</v>
      </c>
      <c r="F3066" s="156"/>
      <c r="G3066" s="156" t="s">
        <v>201</v>
      </c>
      <c r="H3066" s="157"/>
      <c r="I3066" s="43" t="s">
        <v>61</v>
      </c>
      <c r="J3066" s="158">
        <v>4.3634368084895699E-6</v>
      </c>
      <c r="K3066" s="158">
        <v>3.59269651971224E-6</v>
      </c>
      <c r="L3066" s="158">
        <v>4.9425279863860499E-6</v>
      </c>
      <c r="M3066" s="158">
        <v>3.4329333517636901E-6</v>
      </c>
      <c r="N3066" s="158">
        <v>4.2693952133541204E-6</v>
      </c>
      <c r="O3066" s="158">
        <v>3.3464592000830201E-6</v>
      </c>
      <c r="P3066" s="158">
        <v>3.5802133277985998E-6</v>
      </c>
    </row>
    <row r="3067" spans="1:16" x14ac:dyDescent="0.35">
      <c r="A3067" s="153">
        <f xml:space="preserve"> ROW( data_scaledImpacts[[#This Row],[row_id]] ) - ROW( data_scaledImpacts[[#Headers],[row_id]] )</f>
        <v>3066</v>
      </c>
      <c r="B3067" s="154" t="str">
        <f xml:space="preserve"> _xlfn.TEXTJOIN( "", , data_scaledImpacts[[#This Row],[sector]:[impactType]] )</f>
        <v>MentalHealthCanESM25N/A</v>
      </c>
      <c r="C3067" s="155" t="s">
        <v>1313</v>
      </c>
      <c r="D3067" s="155" t="s">
        <v>0</v>
      </c>
      <c r="E3067" s="156">
        <v>5</v>
      </c>
      <c r="F3067" s="156"/>
      <c r="G3067" s="156" t="s">
        <v>201</v>
      </c>
      <c r="H3067" s="157"/>
      <c r="I3067" s="43" t="s">
        <v>63</v>
      </c>
      <c r="J3067" s="158">
        <v>5.4485583141385204E-6</v>
      </c>
      <c r="K3067" s="158">
        <v>4.0471343460272504E-6</v>
      </c>
      <c r="L3067" s="158">
        <v>7.4868810917875903E-6</v>
      </c>
      <c r="M3067" s="158">
        <v>5.3524173310768497E-6</v>
      </c>
      <c r="N3067" s="158">
        <v>4.59898895802389E-6</v>
      </c>
      <c r="O3067" s="158">
        <v>3.9296072732975898E-6</v>
      </c>
      <c r="P3067" s="158">
        <v>4.3815555651072998E-6</v>
      </c>
    </row>
    <row r="3068" spans="1:16" x14ac:dyDescent="0.35">
      <c r="A3068" s="153">
        <f xml:space="preserve"> ROW( data_scaledImpacts[[#This Row],[row_id]] ) - ROW( data_scaledImpacts[[#Headers],[row_id]] )</f>
        <v>3067</v>
      </c>
      <c r="B3068" s="154" t="str">
        <f xml:space="preserve"> _xlfn.TEXTJOIN( "", , data_scaledImpacts[[#This Row],[sector]:[impactType]] )</f>
        <v>MentalHealthCCSM45N/A</v>
      </c>
      <c r="C3068" s="155" t="s">
        <v>1313</v>
      </c>
      <c r="D3068" s="155" t="s">
        <v>1</v>
      </c>
      <c r="E3068" s="156">
        <v>5</v>
      </c>
      <c r="F3068" s="156"/>
      <c r="G3068" s="156" t="s">
        <v>201</v>
      </c>
      <c r="H3068" s="157"/>
      <c r="I3068" s="43" t="s">
        <v>64</v>
      </c>
      <c r="J3068" s="158">
        <v>5.43157204694561E-6</v>
      </c>
      <c r="K3068" s="158">
        <v>3.7061309501993401E-6</v>
      </c>
      <c r="L3068" s="158">
        <v>7.6275321048298897E-6</v>
      </c>
      <c r="M3068" s="158">
        <v>4.2089920361429201E-6</v>
      </c>
      <c r="N3068" s="158">
        <v>4.9738802151400296E-6</v>
      </c>
      <c r="O3068" s="158">
        <v>4.3786151227470503E-6</v>
      </c>
      <c r="P3068" s="158">
        <v>3.8308130866882897E-6</v>
      </c>
    </row>
    <row r="3069" spans="1:16" x14ac:dyDescent="0.35">
      <c r="A3069" s="153">
        <f xml:space="preserve"> ROW( data_scaledImpacts[[#This Row],[row_id]] ) - ROW( data_scaledImpacts[[#Headers],[row_id]] )</f>
        <v>3068</v>
      </c>
      <c r="B3069" s="154" t="str">
        <f xml:space="preserve"> _xlfn.TEXTJOIN( "", , data_scaledImpacts[[#This Row],[sector]:[impactType]] )</f>
        <v>MentalHealthHadGEM2-ES5N/A</v>
      </c>
      <c r="C3069" s="155" t="s">
        <v>1313</v>
      </c>
      <c r="D3069" s="155" t="s">
        <v>3</v>
      </c>
      <c r="E3069" s="156">
        <v>5</v>
      </c>
      <c r="F3069" s="156"/>
      <c r="G3069" s="156" t="s">
        <v>201</v>
      </c>
      <c r="H3069" s="157"/>
      <c r="I3069" s="43" t="s">
        <v>66</v>
      </c>
      <c r="J3069" s="158">
        <v>5.8718734343702597E-6</v>
      </c>
      <c r="K3069" s="158">
        <v>3.9572179339752802E-6</v>
      </c>
      <c r="L3069" s="158">
        <v>7.8792349562201803E-6</v>
      </c>
      <c r="M3069" s="158">
        <v>4.5549311102282997E-6</v>
      </c>
      <c r="N3069" s="158">
        <v>4.7861060293725204E-6</v>
      </c>
      <c r="O3069" s="158">
        <v>3.9343409126263096E-6</v>
      </c>
      <c r="P3069" s="158">
        <v>3.9911043823070603E-6</v>
      </c>
    </row>
    <row r="3070" spans="1:16" x14ac:dyDescent="0.35">
      <c r="A3070" s="153">
        <f xml:space="preserve"> ROW( data_scaledImpacts[[#This Row],[row_id]] ) - ROW( data_scaledImpacts[[#Headers],[row_id]] )</f>
        <v>3069</v>
      </c>
      <c r="B3070" s="154" t="str">
        <f xml:space="preserve"> _xlfn.TEXTJOIN( "", , data_scaledImpacts[[#This Row],[sector]:[impactType]] )</f>
        <v>MentalHealthMIROC55N/A</v>
      </c>
      <c r="C3070" s="155" t="s">
        <v>1313</v>
      </c>
      <c r="D3070" s="155" t="s">
        <v>4</v>
      </c>
      <c r="E3070" s="156">
        <v>5</v>
      </c>
      <c r="F3070" s="156"/>
      <c r="G3070" s="156" t="s">
        <v>201</v>
      </c>
      <c r="H3070" s="157"/>
      <c r="I3070" s="43" t="s">
        <v>67</v>
      </c>
      <c r="J3070" s="158">
        <v>5.9475264897762804E-6</v>
      </c>
      <c r="K3070" s="158">
        <v>3.9124488248785799E-6</v>
      </c>
      <c r="L3070" s="158">
        <v>7.6510069161860501E-6</v>
      </c>
      <c r="M3070" s="158">
        <v>3.33843911154854E-6</v>
      </c>
      <c r="N3070" s="158">
        <v>4.6213250623909004E-6</v>
      </c>
      <c r="O3070" s="158">
        <v>4.53331982663885E-6</v>
      </c>
      <c r="P3070" s="158">
        <v>3.52749091629164E-6</v>
      </c>
    </row>
    <row r="3071" spans="1:16" x14ac:dyDescent="0.35">
      <c r="A3071" s="153">
        <f xml:space="preserve"> ROW( data_scaledImpacts[[#This Row],[row_id]] ) - ROW( data_scaledImpacts[[#Headers],[row_id]] )</f>
        <v>3070</v>
      </c>
      <c r="B3071" s="154" t="str">
        <f xml:space="preserve"> _xlfn.TEXTJOIN( "", , data_scaledImpacts[[#This Row],[sector]:[impactType]] )</f>
        <v>MentalHealthGFDL-CM35N/A</v>
      </c>
      <c r="C3071" s="155" t="s">
        <v>1313</v>
      </c>
      <c r="D3071" s="155" t="s">
        <v>5</v>
      </c>
      <c r="E3071" s="156">
        <v>5</v>
      </c>
      <c r="F3071" s="156"/>
      <c r="G3071" s="156" t="s">
        <v>201</v>
      </c>
      <c r="H3071" s="157"/>
      <c r="I3071" s="43" t="s">
        <v>68</v>
      </c>
      <c r="J3071" s="158">
        <v>5.6460558432339497E-6</v>
      </c>
      <c r="K3071" s="158">
        <v>4.2525935812482298E-6</v>
      </c>
      <c r="L3071" s="158">
        <v>6.8303502727897903E-6</v>
      </c>
      <c r="M3071" s="158">
        <v>4.0539420767553899E-6</v>
      </c>
      <c r="N3071" s="158">
        <v>4.9935015059364199E-6</v>
      </c>
      <c r="O3071" s="158">
        <v>4.3077722117605896E-6</v>
      </c>
      <c r="P3071" s="158">
        <v>4.3618724951136197E-6</v>
      </c>
    </row>
    <row r="3072" spans="1:16" x14ac:dyDescent="0.35">
      <c r="A3072" s="153">
        <f xml:space="preserve"> ROW( data_scaledImpacts[[#This Row],[row_id]] ) - ROW( data_scaledImpacts[[#Headers],[row_id]] )</f>
        <v>3071</v>
      </c>
      <c r="B3072" s="154" t="str">
        <f xml:space="preserve"> _xlfn.TEXTJOIN( "", , data_scaledImpacts[[#This Row],[sector]:[impactType]] )</f>
        <v>MentalHealthCanESM26N/A</v>
      </c>
      <c r="C3072" s="155" t="s">
        <v>1313</v>
      </c>
      <c r="D3072" s="155" t="s">
        <v>0</v>
      </c>
      <c r="E3072" s="156">
        <v>6</v>
      </c>
      <c r="F3072" s="156"/>
      <c r="G3072" s="156" t="s">
        <v>201</v>
      </c>
      <c r="H3072" s="157"/>
      <c r="I3072" s="43" t="s">
        <v>70</v>
      </c>
      <c r="J3072" s="158">
        <v>6.4241830728784797E-6</v>
      </c>
      <c r="K3072" s="158">
        <v>4.8833014011979404E-6</v>
      </c>
      <c r="L3072" s="158">
        <v>8.8639325031653406E-6</v>
      </c>
      <c r="M3072" s="158">
        <v>6.7821329079257196E-6</v>
      </c>
      <c r="N3072" s="158">
        <v>5.4742559591504003E-6</v>
      </c>
      <c r="O3072" s="158">
        <v>4.7389606318077297E-6</v>
      </c>
      <c r="P3072" s="158">
        <v>5.3309713254737501E-6</v>
      </c>
    </row>
    <row r="3073" spans="1:16" x14ac:dyDescent="0.35">
      <c r="A3073" s="153">
        <f xml:space="preserve"> ROW( data_scaledImpacts[[#This Row],[row_id]] ) - ROW( data_scaledImpacts[[#Headers],[row_id]] )</f>
        <v>3072</v>
      </c>
      <c r="B3073" s="154" t="str">
        <f xml:space="preserve"> _xlfn.TEXTJOIN( "", , data_scaledImpacts[[#This Row],[sector]:[impactType]] )</f>
        <v>MentalHealthHadGEM2-ES6N/A</v>
      </c>
      <c r="C3073" s="155" t="s">
        <v>1313</v>
      </c>
      <c r="D3073" s="155" t="s">
        <v>3</v>
      </c>
      <c r="E3073" s="156">
        <v>6</v>
      </c>
      <c r="F3073" s="156"/>
      <c r="G3073" s="156" t="s">
        <v>201</v>
      </c>
      <c r="H3073" s="157"/>
      <c r="I3073" s="43" t="s">
        <v>73</v>
      </c>
      <c r="J3073" s="158">
        <v>7.0381785287747199E-6</v>
      </c>
      <c r="K3073" s="158">
        <v>4.8837030721769499E-6</v>
      </c>
      <c r="L3073" s="158">
        <v>9.1161950377893896E-6</v>
      </c>
      <c r="M3073" s="158">
        <v>5.4942330606325997E-6</v>
      </c>
      <c r="N3073" s="158">
        <v>5.7751511627235303E-6</v>
      </c>
      <c r="O3073" s="158">
        <v>4.5914531536714902E-6</v>
      </c>
      <c r="P3073" s="158">
        <v>4.7381023059319097E-6</v>
      </c>
    </row>
    <row r="3074" spans="1:16" x14ac:dyDescent="0.35">
      <c r="A3074" s="159">
        <f xml:space="preserve"> ROW( data_scaledImpacts[[#This Row],[row_id]] ) - ROW( data_scaledImpacts[[#Headers],[row_id]] )</f>
        <v>3073</v>
      </c>
      <c r="B3074" s="160" t="str">
        <f xml:space="preserve"> _xlfn.TEXTJOIN( "", , data_scaledImpacts[[#This Row],[sector]:[impactType]] )</f>
        <v>MentalHealthGFDL-CM36N/A</v>
      </c>
      <c r="C3074" s="161" t="s">
        <v>1313</v>
      </c>
      <c r="D3074" s="161" t="s">
        <v>5</v>
      </c>
      <c r="E3074" s="162">
        <v>6</v>
      </c>
      <c r="F3074" s="162"/>
      <c r="G3074" s="162" t="s">
        <v>201</v>
      </c>
      <c r="H3074" s="163"/>
      <c r="I3074" s="164" t="s">
        <v>75</v>
      </c>
      <c r="J3074" s="158">
        <v>6.5302755498157496E-6</v>
      </c>
      <c r="K3074" s="158">
        <v>4.9845704387126497E-6</v>
      </c>
      <c r="L3074" s="158">
        <v>8.2440591558443493E-6</v>
      </c>
      <c r="M3074" s="158">
        <v>5.02841016756717E-6</v>
      </c>
      <c r="N3074" s="158">
        <v>5.8659415702083598E-6</v>
      </c>
      <c r="O3074" s="158">
        <v>4.9054852674068502E-6</v>
      </c>
      <c r="P3074" s="158">
        <v>5.2490171729916597E-6</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2023-04-03T22:54:13Z</dcterms:modified>
</cp:coreProperties>
</file>