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C:\Users\wmaddock\Documents\GitHub\FrEDI\FrEDI\inst\extdata\sv\"/>
    </mc:Choice>
  </mc:AlternateContent>
  <xr:revisionPtr revIDLastSave="0" documentId="13_ncr:1_{BA15586D-5D34-4F49-82B4-D6B54BDAD625}" xr6:coauthVersionLast="47" xr6:coauthVersionMax="47" xr10:uidLastSave="{00000000-0000-0000-0000-000000000000}"/>
  <bookViews>
    <workbookView xWindow="20370" yWindow="-6645" windowWidth="24240" windowHeight="17640" xr2:uid="{00000000-000D-0000-FFFF-FFFF00000000}"/>
  </bookViews>
  <sheets>
    <sheet name="ReadMe" sheetId="5" r:id="rId1"/>
    <sheet name="Impacts" sheetId="10" r:id="rId2"/>
    <sheet name="Risk" sheetId="8" r:id="rId3"/>
    <sheet name="Rates" sheetId="9" r:id="rId4"/>
    <sheet name="FrEDI Outputs 1" sheetId="7" r:id="rId5"/>
    <sheet name="FrEDI Outputs 2" sheetId="11" r:id="rId6"/>
    <sheet name="Control Panel" sheetId="6"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ates4">Rates!$H$59:$H$62</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Panel'!$D$44:$D$47</definedName>
    <definedName name="list_years">co_years[Year]</definedName>
    <definedName name="mv_sector">'Control Panel'!$E$60</definedName>
    <definedName name="n_ethnicities">'Control Panel'!$E$61</definedName>
    <definedName name="n_scenarios" comment="Maximum number of scenarios">'Control Panel'!$E$62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74" i="10" l="1"/>
  <c r="I75" i="10"/>
  <c r="E108" i="6"/>
  <c r="E2" i="9"/>
  <c r="E32" i="9"/>
  <c r="E2" i="8"/>
  <c r="E2" i="10"/>
  <c r="C112" i="9"/>
  <c r="H112" i="9" s="1"/>
  <c r="C106" i="9"/>
  <c r="G106" i="9" s="1" a="1"/>
  <c r="G106" i="9" s="1"/>
  <c r="C118" i="9"/>
  <c r="C119" i="9"/>
  <c r="D118" i="9"/>
  <c r="H118" i="9" s="1" a="1"/>
  <c r="H118" i="9" s="1"/>
  <c r="I118" i="9" s="1"/>
  <c r="D119" i="9"/>
  <c r="H121" i="9" a="1"/>
  <c r="H121" i="9" s="1"/>
  <c r="H122" i="9" a="1"/>
  <c r="H122" i="9" s="1"/>
  <c r="H123" i="9" a="1"/>
  <c r="H123" i="9" s="1"/>
  <c r="H124" i="9" a="1"/>
  <c r="H124" i="9" s="1"/>
  <c r="H125" i="9" a="1"/>
  <c r="H125" i="9" s="1"/>
  <c r="I120" i="9"/>
  <c r="I121" i="9"/>
  <c r="I122" i="9"/>
  <c r="I123" i="9"/>
  <c r="I124" i="9"/>
  <c r="I125" i="9"/>
  <c r="H107" i="9"/>
  <c r="H108" i="9"/>
  <c r="H109" i="9"/>
  <c r="H110" i="9"/>
  <c r="H111" i="9"/>
  <c r="H113" i="9"/>
  <c r="H78" i="10" a="1"/>
  <c r="H78" i="10" s="1"/>
  <c r="H79" i="10" a="1"/>
  <c r="H79" i="10" s="1"/>
  <c r="H80" i="10" a="1"/>
  <c r="H80" i="10" s="1"/>
  <c r="H81" i="10" a="1"/>
  <c r="H81" i="10" s="1"/>
  <c r="H77" i="10" a="1"/>
  <c r="H77" i="10" s="1"/>
  <c r="H75" i="10" a="1"/>
  <c r="H75" i="10" s="1"/>
  <c r="H76" i="10" a="1"/>
  <c r="H76" i="10" s="1"/>
  <c r="E74" i="10"/>
  <c r="D74" i="10"/>
  <c r="I76" i="10"/>
  <c r="I77" i="10"/>
  <c r="I78" i="10"/>
  <c r="I79" i="10"/>
  <c r="I80" i="10"/>
  <c r="I81" i="10"/>
  <c r="H106" i="9"/>
  <c r="E113" i="6"/>
  <c r="X93" i="9" a="1"/>
  <c r="X93" i="9" s="1"/>
  <c r="W93" i="9" a="1"/>
  <c r="W93" i="9" s="1"/>
  <c r="V93" i="9" a="1"/>
  <c r="V93" i="9" s="1"/>
  <c r="U93" i="9" a="1"/>
  <c r="U93" i="9" s="1"/>
  <c r="T93" i="9" a="1"/>
  <c r="T93" i="9" s="1"/>
  <c r="S93" i="9" a="1"/>
  <c r="S93" i="9" s="1"/>
  <c r="R93" i="9" a="1"/>
  <c r="R93" i="9" s="1"/>
  <c r="Q93" i="9" a="1"/>
  <c r="Q93" i="9" s="1"/>
  <c r="P93" i="9" a="1"/>
  <c r="P93" i="9" s="1"/>
  <c r="O93" i="9" a="1"/>
  <c r="O93" i="9" s="1"/>
  <c r="N93" i="9" a="1"/>
  <c r="N93" i="9" s="1"/>
  <c r="M93" i="9" a="1"/>
  <c r="M93" i="9" s="1"/>
  <c r="L93" i="9" a="1"/>
  <c r="L93" i="9" s="1"/>
  <c r="K93" i="9" a="1"/>
  <c r="K93" i="9" s="1"/>
  <c r="J93" i="9" a="1"/>
  <c r="J93" i="9" s="1"/>
  <c r="I93" i="9" a="1"/>
  <c r="I93" i="9" s="1"/>
  <c r="X92" i="9" a="1"/>
  <c r="X92" i="9" s="1"/>
  <c r="W92" i="9" a="1"/>
  <c r="W92" i="9" s="1"/>
  <c r="V92" i="9" a="1"/>
  <c r="V92" i="9" s="1"/>
  <c r="U92" i="9" a="1"/>
  <c r="U92" i="9" s="1"/>
  <c r="T92" i="9" a="1"/>
  <c r="T92" i="9" s="1"/>
  <c r="S92" i="9" a="1"/>
  <c r="S92" i="9" s="1"/>
  <c r="R92" i="9" a="1"/>
  <c r="R92" i="9" s="1"/>
  <c r="Q92" i="9" a="1"/>
  <c r="Q92" i="9" s="1"/>
  <c r="P92" i="9" a="1"/>
  <c r="P92" i="9" s="1"/>
  <c r="O92" i="9" a="1"/>
  <c r="O92" i="9" s="1"/>
  <c r="N92" i="9" a="1"/>
  <c r="N92" i="9" s="1"/>
  <c r="M92" i="9" a="1"/>
  <c r="M92" i="9" s="1"/>
  <c r="L92" i="9" a="1"/>
  <c r="L92" i="9" s="1"/>
  <c r="K92" i="9" a="1"/>
  <c r="K92" i="9" s="1"/>
  <c r="J92" i="9" a="1"/>
  <c r="J92" i="9" s="1"/>
  <c r="I92" i="9" a="1"/>
  <c r="I92" i="9" s="1"/>
  <c r="H92" i="9" a="1"/>
  <c r="H92" i="9" s="1"/>
  <c r="H93" i="9" a="1"/>
  <c r="H93" i="9" s="1"/>
  <c r="G29" i="8" a="1"/>
  <c r="G29" i="8" s="1"/>
  <c r="G30" i="8" a="1"/>
  <c r="G30" i="8" s="1"/>
  <c r="G31" i="8" a="1"/>
  <c r="G31" i="8" s="1"/>
  <c r="G32" i="8" a="1"/>
  <c r="G32" i="8" s="1"/>
  <c r="B17" i="6"/>
  <c r="L6" i="6"/>
  <c r="I6" i="6"/>
  <c r="B6" i="6"/>
  <c r="H119" i="9" l="1" a="1"/>
  <c r="H119" i="9" s="1"/>
  <c r="I119" i="9" s="1"/>
  <c r="H74" i="10" a="1"/>
  <c r="H74" i="10" s="1"/>
  <c r="G118" i="9"/>
  <c r="G119" i="9"/>
  <c r="G120" i="9"/>
  <c r="G121" i="9"/>
  <c r="G122" i="9"/>
  <c r="G123" i="9"/>
  <c r="G124" i="9"/>
  <c r="G125" i="9"/>
  <c r="F118" i="9"/>
  <c r="F119" i="9"/>
  <c r="F120" i="9"/>
  <c r="F121" i="9"/>
  <c r="F122" i="9"/>
  <c r="F123" i="9"/>
  <c r="F124" i="9"/>
  <c r="F125" i="9"/>
  <c r="H120" i="9" a="1"/>
  <c r="H120" i="9" s="1"/>
  <c r="B118" i="6"/>
  <c r="B74" i="6"/>
  <c r="B101" i="6"/>
  <c r="E101" i="6"/>
  <c r="B100" i="6"/>
  <c r="E100" i="6"/>
  <c r="B99" i="6"/>
  <c r="E99" i="6"/>
  <c r="B98" i="6"/>
  <c r="E98" i="6"/>
  <c r="D120" i="9"/>
  <c r="D121" i="9"/>
  <c r="D122" i="9"/>
  <c r="D123" i="9"/>
  <c r="D124" i="9"/>
  <c r="D125" i="9"/>
  <c r="C120" i="9"/>
  <c r="C121" i="9"/>
  <c r="C122" i="9"/>
  <c r="C123" i="9"/>
  <c r="C124" i="9"/>
  <c r="C125" i="9"/>
  <c r="B125" i="9" a="1"/>
  <c r="B125" i="9" s="1"/>
  <c r="B124" i="9" a="1"/>
  <c r="B124" i="9" s="1"/>
  <c r="B123" i="9" a="1"/>
  <c r="B123" i="9" s="1"/>
  <c r="B122" i="9" a="1"/>
  <c r="B122" i="9" s="1"/>
  <c r="B121" i="9" a="1"/>
  <c r="B121" i="9" s="1"/>
  <c r="B120" i="9" a="1"/>
  <c r="B120" i="9" s="1"/>
  <c r="B119" i="9" a="1"/>
  <c r="B119" i="9" s="1"/>
  <c r="B118" i="9" a="1"/>
  <c r="B118" i="9" s="1"/>
  <c r="H29" i="8"/>
  <c r="H30" i="8"/>
  <c r="H31" i="8"/>
  <c r="H32" i="8"/>
  <c r="B158" i="6"/>
  <c r="B157" i="6"/>
  <c r="B156" i="6"/>
  <c r="B155" i="6"/>
  <c r="G101" i="6" a="1"/>
  <c r="G99" i="6" a="1"/>
  <c r="G100" i="6" a="1"/>
  <c r="G98" i="6" a="1"/>
  <c r="G101" i="6" l="1"/>
  <c r="G100" i="6"/>
  <c r="G99" i="6"/>
  <c r="E118" i="6" s="1"/>
  <c r="G98" i="6"/>
  <c r="W65" i="10" l="1"/>
  <c r="V65" i="10"/>
  <c r="U65" i="10"/>
  <c r="T65" i="10"/>
  <c r="S65" i="10"/>
  <c r="R65" i="10"/>
  <c r="Q65" i="10"/>
  <c r="P65" i="10"/>
  <c r="O65" i="10"/>
  <c r="N65" i="10"/>
  <c r="M65" i="10"/>
  <c r="L65" i="10"/>
  <c r="K65" i="10"/>
  <c r="J65" i="10"/>
  <c r="I65" i="10"/>
  <c r="H65" i="10"/>
  <c r="G65" i="10"/>
  <c r="V96" i="9"/>
  <c r="U96" i="9"/>
  <c r="T96" i="9"/>
  <c r="S96" i="9"/>
  <c r="R96" i="9"/>
  <c r="Q96" i="9"/>
  <c r="P96" i="9"/>
  <c r="O96" i="9"/>
  <c r="N96" i="9"/>
  <c r="M96" i="9"/>
  <c r="L96" i="9"/>
  <c r="K96" i="9"/>
  <c r="J96" i="9"/>
  <c r="I96" i="9"/>
  <c r="H96" i="9"/>
  <c r="G96" i="9"/>
  <c r="F96" i="9"/>
  <c r="X90" i="9"/>
  <c r="W90" i="9"/>
  <c r="V90" i="9"/>
  <c r="U90" i="9"/>
  <c r="T90" i="9"/>
  <c r="S90" i="9"/>
  <c r="R90" i="9"/>
  <c r="Q90" i="9"/>
  <c r="P90" i="9"/>
  <c r="O90" i="9"/>
  <c r="N90" i="9"/>
  <c r="M90" i="9"/>
  <c r="L90" i="9"/>
  <c r="K90" i="9"/>
  <c r="J90" i="9"/>
  <c r="I90" i="9"/>
  <c r="H90" i="9"/>
  <c r="B151" i="6"/>
  <c r="C151" i="6" s="1"/>
  <c r="B143" i="6"/>
  <c r="C143" i="6" s="1"/>
  <c r="B144" i="6"/>
  <c r="C144" i="6" s="1"/>
  <c r="B145" i="6"/>
  <c r="C145" i="6" s="1"/>
  <c r="B146" i="6"/>
  <c r="C146" i="6" s="1"/>
  <c r="B147" i="6"/>
  <c r="C147" i="6" s="1"/>
  <c r="B148" i="6"/>
  <c r="C148" i="6" s="1"/>
  <c r="B149" i="6"/>
  <c r="C149" i="6" s="1"/>
  <c r="B150" i="6"/>
  <c r="C150" i="6" s="1"/>
  <c r="B142" i="6"/>
  <c r="C142" i="6" s="1"/>
  <c r="B141" i="6"/>
  <c r="C141" i="6" s="1"/>
  <c r="B140" i="6"/>
  <c r="C140" i="6" s="1"/>
  <c r="B139" i="6"/>
  <c r="C139" i="6" s="1"/>
  <c r="B138" i="6"/>
  <c r="C138" i="6" s="1"/>
  <c r="B137" i="6"/>
  <c r="C137" i="6" s="1"/>
  <c r="B136" i="6"/>
  <c r="C136" i="6" s="1"/>
  <c r="B135" i="6"/>
  <c r="C135" i="6" s="1"/>
  <c r="E116" i="6" l="1"/>
  <c r="G97" i="6" a="1"/>
  <c r="G92" i="6" a="1"/>
  <c r="G86" i="6" a="1"/>
  <c r="G85" i="6" a="1"/>
  <c r="G82" i="6" a="1"/>
  <c r="G87" i="6" a="1"/>
  <c r="G81" i="6" a="1"/>
  <c r="G89" i="6" a="1"/>
  <c r="G96" i="6" a="1"/>
  <c r="G80" i="6" a="1"/>
  <c r="G93" i="6" a="1"/>
  <c r="G90" i="6" a="1"/>
  <c r="G79" i="6" a="1"/>
  <c r="G95" i="6" a="1"/>
  <c r="G84" i="6" a="1"/>
  <c r="G91" i="6" a="1"/>
  <c r="G94" i="6" a="1"/>
  <c r="G88" i="6" a="1"/>
  <c r="G83" i="6" a="1"/>
  <c r="G97" i="6" l="1"/>
  <c r="G93" i="6"/>
  <c r="E114" i="6" s="1"/>
  <c r="G89" i="6"/>
  <c r="G85" i="6"/>
  <c r="G96" i="6"/>
  <c r="G92" i="6"/>
  <c r="G88" i="6"/>
  <c r="G84" i="6"/>
  <c r="G81" i="6"/>
  <c r="G95" i="6"/>
  <c r="E117" i="6" s="1"/>
  <c r="G91" i="6"/>
  <c r="G87" i="6"/>
  <c r="G83" i="6"/>
  <c r="E109" i="6" s="1"/>
  <c r="G80" i="6"/>
  <c r="G94" i="6"/>
  <c r="G90" i="6"/>
  <c r="G86" i="6"/>
  <c r="G82" i="6"/>
  <c r="G79" i="6"/>
  <c r="E106" i="6" s="1"/>
  <c r="E111" i="6" l="1"/>
  <c r="E110" i="6"/>
  <c r="E62" i="6" l="1"/>
  <c r="B63" i="6"/>
  <c r="B62" i="6"/>
  <c r="F92" i="9"/>
  <c r="F93" i="9"/>
  <c r="F106" i="9"/>
  <c r="F107" i="9"/>
  <c r="F108" i="9"/>
  <c r="F109" i="9"/>
  <c r="F110" i="9"/>
  <c r="F111" i="9"/>
  <c r="F112" i="9"/>
  <c r="F113" i="9"/>
  <c r="E106" i="9"/>
  <c r="E107" i="9"/>
  <c r="E108" i="9"/>
  <c r="E109" i="9"/>
  <c r="E110" i="9"/>
  <c r="E111" i="9"/>
  <c r="E112" i="9"/>
  <c r="E113" i="9"/>
  <c r="G92" i="9"/>
  <c r="G93" i="9"/>
  <c r="E98" i="9"/>
  <c r="E99" i="9"/>
  <c r="E100" i="9"/>
  <c r="E101" i="9"/>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E29" i="8"/>
  <c r="E30" i="8"/>
  <c r="E31" i="8"/>
  <c r="E32" i="8"/>
  <c r="H120" i="10"/>
  <c r="H121" i="10"/>
  <c r="H122" i="10"/>
  <c r="H123" i="10"/>
  <c r="H124" i="10"/>
  <c r="H125" i="10"/>
  <c r="H126" i="10"/>
  <c r="H127" i="10"/>
  <c r="H128" i="10"/>
  <c r="H129" i="10"/>
  <c r="H130" i="10"/>
  <c r="H131" i="10"/>
  <c r="H132" i="10"/>
  <c r="H133" i="10"/>
  <c r="H134" i="10"/>
  <c r="H135" i="10"/>
  <c r="D67" i="10"/>
  <c r="D68" i="10"/>
  <c r="D69" i="10"/>
  <c r="D70"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F74" i="10"/>
  <c r="F75" i="10"/>
  <c r="F76" i="10"/>
  <c r="F77" i="10"/>
  <c r="F78" i="10"/>
  <c r="F79" i="10"/>
  <c r="F80" i="10"/>
  <c r="F81" i="10"/>
  <c r="E75" i="10"/>
  <c r="E76" i="10"/>
  <c r="E77" i="10"/>
  <c r="E78" i="10"/>
  <c r="E79" i="10"/>
  <c r="E80" i="10"/>
  <c r="E81" i="10"/>
  <c r="D75" i="10"/>
  <c r="D76" i="10"/>
  <c r="D77" i="10"/>
  <c r="D78" i="10"/>
  <c r="D79" i="10"/>
  <c r="D80" i="10"/>
  <c r="D81" i="10"/>
  <c r="E67" i="10"/>
  <c r="E68" i="10"/>
  <c r="E69" i="10"/>
  <c r="E70" i="10"/>
  <c r="D29" i="8"/>
  <c r="D30" i="8"/>
  <c r="D31" i="8"/>
  <c r="D32" i="8"/>
  <c r="C107" i="9"/>
  <c r="C108" i="9"/>
  <c r="C109" i="9"/>
  <c r="G109" i="9" s="1" a="1"/>
  <c r="G109" i="9" s="1"/>
  <c r="C110" i="9"/>
  <c r="C111" i="9"/>
  <c r="C113" i="9"/>
  <c r="E92" i="9"/>
  <c r="E93" i="9"/>
  <c r="D92" i="9"/>
  <c r="D93" i="9"/>
  <c r="D98" i="9"/>
  <c r="D99" i="9"/>
  <c r="D100" i="9"/>
  <c r="D101" i="9"/>
  <c r="C36" i="6" a="1"/>
  <c r="C36" i="6" s="1"/>
  <c r="G112" i="9" l="1" a="1"/>
  <c r="G112" i="9" s="1"/>
  <c r="G107" i="9" a="1"/>
  <c r="G107" i="9" s="1"/>
  <c r="G113" i="9" a="1"/>
  <c r="G113" i="9" s="1"/>
  <c r="F67" i="10"/>
  <c r="J37" i="8"/>
  <c r="G108" i="9" a="1"/>
  <c r="G108" i="9" s="1"/>
  <c r="G111" i="9" a="1"/>
  <c r="G111" i="9" s="1"/>
  <c r="G110" i="9" a="1"/>
  <c r="G110" i="9" s="1"/>
  <c r="D36" i="6" a="1"/>
  <c r="D36" i="6" s="1"/>
  <c r="C37" i="6" a="1"/>
  <c r="C37" i="6" s="1"/>
  <c r="F68" i="10" s="1"/>
  <c r="B117" i="6"/>
  <c r="B116" i="6"/>
  <c r="B113" i="6"/>
  <c r="B112" i="6"/>
  <c r="B110" i="6"/>
  <c r="B95" i="6"/>
  <c r="E95" i="6"/>
  <c r="B96" i="6"/>
  <c r="E96" i="6"/>
  <c r="B97" i="6"/>
  <c r="E97" i="6"/>
  <c r="B92" i="6"/>
  <c r="E92" i="6"/>
  <c r="B84" i="6"/>
  <c r="E84" i="6"/>
  <c r="B85" i="6"/>
  <c r="E85" i="6"/>
  <c r="B81" i="6"/>
  <c r="E81" i="6"/>
  <c r="B73" i="6"/>
  <c r="B106" i="9" a="1"/>
  <c r="B106" i="9" s="1"/>
  <c r="B107" i="9" a="1"/>
  <c r="B107" i="9" s="1"/>
  <c r="B108" i="9" a="1"/>
  <c r="B108" i="9" s="1"/>
  <c r="B109" i="9" a="1"/>
  <c r="B109" i="9" s="1"/>
  <c r="B110" i="9" a="1"/>
  <c r="B110" i="9" s="1"/>
  <c r="B111" i="9" a="1"/>
  <c r="B111" i="9" s="1"/>
  <c r="B112" i="9" a="1"/>
  <c r="B112" i="9" s="1"/>
  <c r="B113" i="9" a="1"/>
  <c r="B113" i="9" s="1"/>
  <c r="B67" i="10" a="1"/>
  <c r="B67" i="10" s="1"/>
  <c r="C67" i="10"/>
  <c r="B68" i="10" a="1"/>
  <c r="B68" i="10" s="1"/>
  <c r="C68" i="10"/>
  <c r="B69" i="10" a="1"/>
  <c r="B69" i="10" s="1"/>
  <c r="C69" i="10"/>
  <c r="B70" i="10" a="1"/>
  <c r="B70" i="10" s="1"/>
  <c r="C70" i="10"/>
  <c r="B85" i="10" a="1"/>
  <c r="B85" i="10" s="1"/>
  <c r="I85" i="10" s="1" a="1"/>
  <c r="I85" i="10" s="1"/>
  <c r="E85" i="10"/>
  <c r="B86" i="10" a="1"/>
  <c r="B86" i="10" s="1"/>
  <c r="E86" i="10"/>
  <c r="B87" i="10" a="1"/>
  <c r="B87" i="10" s="1"/>
  <c r="E87" i="10"/>
  <c r="B88" i="10" a="1"/>
  <c r="B88" i="10" s="1"/>
  <c r="E88" i="10"/>
  <c r="B89" i="10" a="1"/>
  <c r="B89" i="10" s="1"/>
  <c r="I89" i="10" s="1" a="1"/>
  <c r="I89" i="10" s="1"/>
  <c r="E89" i="10"/>
  <c r="B90" i="10" a="1"/>
  <c r="B90" i="10" s="1"/>
  <c r="E90" i="10"/>
  <c r="B91" i="10" a="1"/>
  <c r="B91" i="10" s="1"/>
  <c r="E91" i="10"/>
  <c r="B92" i="10" a="1"/>
  <c r="B92" i="10" s="1"/>
  <c r="E92" i="10"/>
  <c r="B93" i="10" a="1"/>
  <c r="B93" i="10" s="1"/>
  <c r="I93" i="10" s="1" a="1"/>
  <c r="I93" i="10" s="1"/>
  <c r="E93" i="10"/>
  <c r="B94" i="10" a="1"/>
  <c r="B94" i="10" s="1"/>
  <c r="E94" i="10"/>
  <c r="B95" i="10" a="1"/>
  <c r="B95" i="10" s="1"/>
  <c r="E95" i="10"/>
  <c r="B96" i="10" a="1"/>
  <c r="B96" i="10" s="1"/>
  <c r="E96" i="10"/>
  <c r="B97" i="10" a="1"/>
  <c r="B97" i="10" s="1"/>
  <c r="I97" i="10" s="1" a="1"/>
  <c r="I97" i="10" s="1"/>
  <c r="E97" i="10"/>
  <c r="B98" i="10" a="1"/>
  <c r="B98" i="10" s="1"/>
  <c r="E98" i="10"/>
  <c r="B99" i="10" a="1"/>
  <c r="B99" i="10" s="1"/>
  <c r="E99" i="10"/>
  <c r="B100" i="10" a="1"/>
  <c r="B100" i="10" s="1"/>
  <c r="E100" i="10"/>
  <c r="B101" i="10" a="1"/>
  <c r="B101" i="10" s="1"/>
  <c r="I101" i="10" s="1" a="1"/>
  <c r="I101" i="10" s="1"/>
  <c r="E101" i="10"/>
  <c r="B102" i="10" a="1"/>
  <c r="B102" i="10" s="1"/>
  <c r="E102" i="10"/>
  <c r="B103" i="10" a="1"/>
  <c r="B103" i="10" s="1"/>
  <c r="E103" i="10"/>
  <c r="B104" i="10" a="1"/>
  <c r="B104" i="10" s="1"/>
  <c r="E104" i="10"/>
  <c r="B105" i="10" a="1"/>
  <c r="B105" i="10" s="1"/>
  <c r="I105" i="10" s="1" a="1"/>
  <c r="I105" i="10" s="1"/>
  <c r="E105" i="10"/>
  <c r="B106" i="10" a="1"/>
  <c r="B106" i="10" s="1"/>
  <c r="E106" i="10"/>
  <c r="B107" i="10" a="1"/>
  <c r="B107" i="10" s="1"/>
  <c r="E107" i="10"/>
  <c r="B108" i="10" a="1"/>
  <c r="B108" i="10" s="1"/>
  <c r="E108" i="10"/>
  <c r="B109" i="10" a="1"/>
  <c r="B109" i="10" s="1"/>
  <c r="I109" i="10" s="1" a="1"/>
  <c r="I109" i="10" s="1"/>
  <c r="E109" i="10"/>
  <c r="B110" i="10" a="1"/>
  <c r="B110" i="10" s="1"/>
  <c r="E110" i="10"/>
  <c r="B111" i="10" a="1"/>
  <c r="B111" i="10" s="1"/>
  <c r="E111" i="10"/>
  <c r="B112" i="10" a="1"/>
  <c r="B112" i="10" s="1"/>
  <c r="E112" i="10"/>
  <c r="B113" i="10" a="1"/>
  <c r="B113" i="10" s="1"/>
  <c r="I113" i="10" s="1" a="1"/>
  <c r="I113" i="10" s="1"/>
  <c r="E113" i="10"/>
  <c r="B114" i="10" a="1"/>
  <c r="B114" i="10" s="1"/>
  <c r="E114" i="10"/>
  <c r="B115" i="10" a="1"/>
  <c r="B115" i="10" s="1"/>
  <c r="E115" i="10"/>
  <c r="B116" i="10" a="1"/>
  <c r="B116" i="10" s="1"/>
  <c r="E116" i="10"/>
  <c r="J61" i="8"/>
  <c r="B25" i="6"/>
  <c r="B24" i="6"/>
  <c r="B23" i="6"/>
  <c r="B22" i="6"/>
  <c r="B11" i="6"/>
  <c r="L11" i="6"/>
  <c r="B10" i="6"/>
  <c r="L10" i="6"/>
  <c r="S67" i="10" l="1" a="1"/>
  <c r="S67" i="10" s="1"/>
  <c r="N68" i="10" a="1"/>
  <c r="N68" i="10" s="1"/>
  <c r="J67" i="10" a="1"/>
  <c r="J67" i="10" s="1"/>
  <c r="L67" i="10" a="1"/>
  <c r="L67" i="10" s="1"/>
  <c r="U67" i="10" a="1"/>
  <c r="U67" i="10" s="1"/>
  <c r="W67" i="10" a="1"/>
  <c r="W67" i="10" s="1"/>
  <c r="Q67" i="10" a="1"/>
  <c r="Q67" i="10" s="1"/>
  <c r="K67" i="10" a="1"/>
  <c r="K67" i="10" s="1"/>
  <c r="M67" i="10" a="1"/>
  <c r="M67" i="10" s="1"/>
  <c r="I67" i="10" a="1"/>
  <c r="I67" i="10" s="1"/>
  <c r="R67" i="10" a="1"/>
  <c r="R67" i="10" s="1"/>
  <c r="P67" i="10" a="1"/>
  <c r="P67" i="10" s="1"/>
  <c r="G67" i="10" a="1"/>
  <c r="G67" i="10" s="1"/>
  <c r="O67" i="10" a="1"/>
  <c r="O67" i="10" s="1"/>
  <c r="H67" i="10" a="1"/>
  <c r="H67" i="10" s="1"/>
  <c r="T67" i="10" a="1"/>
  <c r="T67" i="10" s="1"/>
  <c r="N67" i="10" a="1"/>
  <c r="N67" i="10" s="1"/>
  <c r="V67" i="10" a="1"/>
  <c r="V67" i="10" s="1"/>
  <c r="I106" i="10" a="1"/>
  <c r="I106" i="10" s="1"/>
  <c r="I94" i="10" a="1"/>
  <c r="I94" i="10" s="1"/>
  <c r="I114" i="10" a="1"/>
  <c r="I114" i="10" s="1"/>
  <c r="I102" i="10" a="1"/>
  <c r="I102" i="10" s="1"/>
  <c r="I86" i="10" a="1"/>
  <c r="I86" i="10" s="1"/>
  <c r="I110" i="10" a="1"/>
  <c r="I110" i="10" s="1"/>
  <c r="I98" i="10" a="1"/>
  <c r="I98" i="10" s="1"/>
  <c r="I90" i="10" a="1"/>
  <c r="I90" i="10" s="1"/>
  <c r="D37" i="6" a="1"/>
  <c r="D37" i="6" s="1"/>
  <c r="C38" i="6" a="1"/>
  <c r="C38" i="6" s="1"/>
  <c r="F69" i="10" s="1"/>
  <c r="J41" i="8"/>
  <c r="J49" i="8"/>
  <c r="J57" i="8"/>
  <c r="J65" i="8"/>
  <c r="J45" i="8"/>
  <c r="J53" i="8"/>
  <c r="G74" i="10"/>
  <c r="G75" i="10"/>
  <c r="G76" i="10"/>
  <c r="G77" i="10"/>
  <c r="G78" i="10"/>
  <c r="G79" i="10"/>
  <c r="G80" i="10"/>
  <c r="G81" i="10"/>
  <c r="F29" i="8"/>
  <c r="F30" i="8"/>
  <c r="F31" i="8"/>
  <c r="F32" i="8"/>
  <c r="B31" i="8"/>
  <c r="B32" i="8"/>
  <c r="B29" i="8"/>
  <c r="B30" i="8"/>
  <c r="B115" i="6"/>
  <c r="B98" i="9" a="1"/>
  <c r="B98" i="9" s="1"/>
  <c r="C98" i="9" s="1" a="1"/>
  <c r="C98" i="9" s="1"/>
  <c r="B99" i="9" a="1"/>
  <c r="B99" i="9" s="1"/>
  <c r="C99" i="9" s="1" a="1"/>
  <c r="C99" i="9" s="1"/>
  <c r="B100" i="9" a="1"/>
  <c r="B100" i="9" s="1"/>
  <c r="B101" i="9" a="1"/>
  <c r="B101" i="9" s="1"/>
  <c r="B92" i="9" a="1"/>
  <c r="B92" i="9" s="1"/>
  <c r="B93" i="9" a="1"/>
  <c r="B93" i="9" s="1"/>
  <c r="B114" i="6"/>
  <c r="B111" i="6"/>
  <c r="B109" i="6"/>
  <c r="B108" i="6"/>
  <c r="B130" i="6"/>
  <c r="B129" i="6"/>
  <c r="B128" i="6"/>
  <c r="B127" i="6"/>
  <c r="B126" i="6"/>
  <c r="B125" i="6"/>
  <c r="B124" i="6"/>
  <c r="B123" i="6"/>
  <c r="B74" i="10" a="1"/>
  <c r="B74" i="10" s="1"/>
  <c r="B75" i="10" a="1"/>
  <c r="B75" i="10" s="1"/>
  <c r="B76" i="10" a="1"/>
  <c r="B76" i="10" s="1"/>
  <c r="B77" i="10" a="1"/>
  <c r="B77" i="10" s="1"/>
  <c r="B78" i="10" a="1"/>
  <c r="B78" i="10" s="1"/>
  <c r="B79" i="10" a="1"/>
  <c r="B79" i="10" s="1"/>
  <c r="B80" i="10" a="1"/>
  <c r="B80" i="10" s="1"/>
  <c r="B81" i="10" a="1"/>
  <c r="B81" i="10" s="1"/>
  <c r="E120" i="10"/>
  <c r="E121" i="10"/>
  <c r="E122" i="10"/>
  <c r="E123" i="10"/>
  <c r="E124" i="10"/>
  <c r="E125" i="10"/>
  <c r="E126" i="10"/>
  <c r="E127" i="10"/>
  <c r="E128" i="10"/>
  <c r="E129" i="10"/>
  <c r="E130" i="10"/>
  <c r="E131" i="10"/>
  <c r="E132" i="10"/>
  <c r="E133" i="10"/>
  <c r="E134" i="10"/>
  <c r="E135" i="10"/>
  <c r="E79" i="6"/>
  <c r="E80" i="6"/>
  <c r="E82" i="6"/>
  <c r="E83" i="6"/>
  <c r="E86" i="6"/>
  <c r="E87" i="6"/>
  <c r="E88" i="6"/>
  <c r="E89" i="6"/>
  <c r="E90" i="6"/>
  <c r="E91" i="6"/>
  <c r="E93" i="6"/>
  <c r="E94" i="6"/>
  <c r="R98" i="9" l="1" a="1"/>
  <c r="R98" i="9" s="1"/>
  <c r="J98" i="9" a="1"/>
  <c r="J98" i="9" s="1"/>
  <c r="Q98" i="9" a="1"/>
  <c r="Q98" i="9" s="1"/>
  <c r="I98" i="9" a="1"/>
  <c r="I98" i="9" s="1"/>
  <c r="K98" i="9" a="1"/>
  <c r="K98" i="9" s="1"/>
  <c r="P98" i="9" a="1"/>
  <c r="P98" i="9" s="1"/>
  <c r="H98" i="9" a="1"/>
  <c r="H98" i="9" s="1"/>
  <c r="O98" i="9" a="1"/>
  <c r="O98" i="9" s="1"/>
  <c r="G98" i="9" a="1"/>
  <c r="G98" i="9" s="1"/>
  <c r="S98" i="9" a="1"/>
  <c r="S98" i="9" s="1"/>
  <c r="V98" i="9" a="1"/>
  <c r="V98" i="9" s="1"/>
  <c r="N98" i="9" a="1"/>
  <c r="N98" i="9" s="1"/>
  <c r="F98" i="9" a="1"/>
  <c r="F98" i="9" s="1"/>
  <c r="U98" i="9" a="1"/>
  <c r="U98" i="9" s="1"/>
  <c r="M98" i="9" a="1"/>
  <c r="M98" i="9" s="1"/>
  <c r="T98" i="9" a="1"/>
  <c r="T98" i="9" s="1"/>
  <c r="L98" i="9" a="1"/>
  <c r="L98" i="9" s="1"/>
  <c r="R99" i="9" a="1"/>
  <c r="R99" i="9" s="1"/>
  <c r="J99" i="9" a="1"/>
  <c r="J99" i="9" s="1"/>
  <c r="Q99" i="9" a="1"/>
  <c r="Q99" i="9" s="1"/>
  <c r="I99" i="9" a="1"/>
  <c r="I99" i="9" s="1"/>
  <c r="P99" i="9" a="1"/>
  <c r="P99" i="9" s="1"/>
  <c r="H99" i="9" a="1"/>
  <c r="H99" i="9" s="1"/>
  <c r="O99" i="9" a="1"/>
  <c r="O99" i="9" s="1"/>
  <c r="G99" i="9" a="1"/>
  <c r="G99" i="9" s="1"/>
  <c r="V99" i="9" a="1"/>
  <c r="V99" i="9" s="1"/>
  <c r="N99" i="9" a="1"/>
  <c r="N99" i="9" s="1"/>
  <c r="U99" i="9" a="1"/>
  <c r="U99" i="9" s="1"/>
  <c r="M99" i="9" a="1"/>
  <c r="M99" i="9" s="1"/>
  <c r="F99" i="9" a="1"/>
  <c r="F99" i="9" s="1"/>
  <c r="K99" i="9" a="1"/>
  <c r="K99" i="9" s="1"/>
  <c r="T99" i="9" a="1"/>
  <c r="T99" i="9" s="1"/>
  <c r="L99" i="9" a="1"/>
  <c r="L99" i="9" s="1"/>
  <c r="S99" i="9" a="1"/>
  <c r="S99" i="9" s="1"/>
  <c r="K68" i="10" a="1"/>
  <c r="K68" i="10" s="1"/>
  <c r="O68" i="10" a="1"/>
  <c r="O68" i="10" s="1"/>
  <c r="S68" i="10" a="1"/>
  <c r="S68" i="10" s="1"/>
  <c r="R68" i="10" a="1"/>
  <c r="R68" i="10" s="1"/>
  <c r="I68" i="10" a="1"/>
  <c r="I68" i="10" s="1"/>
  <c r="V68" i="10" a="1"/>
  <c r="V68" i="10" s="1"/>
  <c r="H68" i="10" a="1"/>
  <c r="H68" i="10" s="1"/>
  <c r="P68" i="10" a="1"/>
  <c r="P68" i="10" s="1"/>
  <c r="J68" i="10" a="1"/>
  <c r="J68" i="10" s="1"/>
  <c r="W68" i="10" a="1"/>
  <c r="W68" i="10" s="1"/>
  <c r="G68" i="10" a="1"/>
  <c r="G68" i="10" s="1"/>
  <c r="M68" i="10" a="1"/>
  <c r="M68" i="10" s="1"/>
  <c r="U68" i="10" a="1"/>
  <c r="U68" i="10" s="1"/>
  <c r="L68" i="10" a="1"/>
  <c r="L68" i="10" s="1"/>
  <c r="Q68" i="10" a="1"/>
  <c r="Q68" i="10" s="1"/>
  <c r="T68" i="10" a="1"/>
  <c r="T68" i="10" s="1"/>
  <c r="I107" i="10" a="1"/>
  <c r="I107" i="10" s="1"/>
  <c r="I95" i="10" a="1"/>
  <c r="I95" i="10" s="1"/>
  <c r="I99" i="10" a="1"/>
  <c r="I99" i="10" s="1"/>
  <c r="I103" i="10" a="1"/>
  <c r="I103" i="10" s="1"/>
  <c r="I111" i="10" a="1"/>
  <c r="I111" i="10" s="1"/>
  <c r="I115" i="10" a="1"/>
  <c r="I115" i="10" s="1"/>
  <c r="I87" i="10" a="1"/>
  <c r="I87" i="10" s="1"/>
  <c r="I91" i="10" a="1"/>
  <c r="I91" i="10" s="1"/>
  <c r="D38" i="6" a="1"/>
  <c r="D38" i="6" s="1"/>
  <c r="C100" i="9" a="1"/>
  <c r="C100" i="9" s="1"/>
  <c r="C39" i="6" a="1"/>
  <c r="C39" i="6" s="1"/>
  <c r="F70" i="10" s="1"/>
  <c r="J46" i="8"/>
  <c r="J66" i="8"/>
  <c r="J58" i="8"/>
  <c r="J50" i="8"/>
  <c r="J42" i="8"/>
  <c r="J62" i="8"/>
  <c r="J54" i="8"/>
  <c r="J38" i="8"/>
  <c r="B94" i="6"/>
  <c r="B93" i="6"/>
  <c r="B91" i="6"/>
  <c r="B90" i="6"/>
  <c r="B89" i="6"/>
  <c r="B88" i="6"/>
  <c r="B87" i="6"/>
  <c r="B86" i="6"/>
  <c r="B72" i="6"/>
  <c r="B71" i="6"/>
  <c r="B70" i="6"/>
  <c r="B69" i="6"/>
  <c r="B68" i="6"/>
  <c r="B83" i="6"/>
  <c r="B82" i="6"/>
  <c r="B80" i="6"/>
  <c r="B79" i="6"/>
  <c r="E60" i="6"/>
  <c r="B107" i="6"/>
  <c r="B106" i="6"/>
  <c r="B61" i="6"/>
  <c r="B60" i="6"/>
  <c r="L5" i="6"/>
  <c r="L7" i="6"/>
  <c r="L8" i="6"/>
  <c r="L9" i="6"/>
  <c r="B31" i="6"/>
  <c r="B30" i="6"/>
  <c r="R100" i="9" l="1" a="1"/>
  <c r="R100" i="9" s="1"/>
  <c r="J100" i="9" a="1"/>
  <c r="J100" i="9" s="1"/>
  <c r="Q100" i="9" a="1"/>
  <c r="Q100" i="9" s="1"/>
  <c r="I100" i="9" a="1"/>
  <c r="I100" i="9" s="1"/>
  <c r="P100" i="9" a="1"/>
  <c r="P100" i="9" s="1"/>
  <c r="H100" i="9" a="1"/>
  <c r="H100" i="9" s="1"/>
  <c r="O100" i="9" a="1"/>
  <c r="O100" i="9" s="1"/>
  <c r="G100" i="9" a="1"/>
  <c r="G100" i="9" s="1"/>
  <c r="S100" i="9" a="1"/>
  <c r="S100" i="9" s="1"/>
  <c r="V100" i="9" a="1"/>
  <c r="V100" i="9" s="1"/>
  <c r="N100" i="9" a="1"/>
  <c r="N100" i="9" s="1"/>
  <c r="U100" i="9" a="1"/>
  <c r="U100" i="9" s="1"/>
  <c r="M100" i="9" a="1"/>
  <c r="M100" i="9" s="1"/>
  <c r="K100" i="9" a="1"/>
  <c r="K100" i="9" s="1"/>
  <c r="T100" i="9" a="1"/>
  <c r="T100" i="9" s="1"/>
  <c r="L100" i="9" a="1"/>
  <c r="L100" i="9" s="1"/>
  <c r="F100" i="9" a="1"/>
  <c r="F100" i="9" s="1"/>
  <c r="H70" i="10" a="1"/>
  <c r="H70" i="10" s="1"/>
  <c r="N70" i="10" a="1"/>
  <c r="N70" i="10" s="1"/>
  <c r="P70" i="10" a="1"/>
  <c r="P70" i="10" s="1"/>
  <c r="U70" i="10" a="1"/>
  <c r="U70" i="10" s="1"/>
  <c r="I70" i="10" a="1"/>
  <c r="I70" i="10" s="1"/>
  <c r="J70" i="10" a="1"/>
  <c r="J70" i="10" s="1"/>
  <c r="R70" i="10" a="1"/>
  <c r="R70" i="10" s="1"/>
  <c r="G70" i="10" a="1"/>
  <c r="G70" i="10" s="1"/>
  <c r="Q70" i="10" a="1"/>
  <c r="Q70" i="10" s="1"/>
  <c r="W70" i="10" a="1"/>
  <c r="W70" i="10" s="1"/>
  <c r="S70" i="10" a="1"/>
  <c r="S70" i="10" s="1"/>
  <c r="L70" i="10" a="1"/>
  <c r="L70" i="10" s="1"/>
  <c r="T70" i="10" a="1"/>
  <c r="T70" i="10" s="1"/>
  <c r="V70" i="10" a="1"/>
  <c r="V70" i="10" s="1"/>
  <c r="K70" i="10" a="1"/>
  <c r="K70" i="10" s="1"/>
  <c r="O70" i="10" a="1"/>
  <c r="O70" i="10" s="1"/>
  <c r="M70" i="10" a="1"/>
  <c r="M70" i="10" s="1"/>
  <c r="U69" i="10" a="1"/>
  <c r="U69" i="10" s="1"/>
  <c r="H69" i="10" a="1"/>
  <c r="H69" i="10" s="1"/>
  <c r="Q69" i="10" a="1"/>
  <c r="Q69" i="10" s="1"/>
  <c r="I69" i="10" a="1"/>
  <c r="I69" i="10" s="1"/>
  <c r="K69" i="10" a="1"/>
  <c r="K69" i="10" s="1"/>
  <c r="S69" i="10" a="1"/>
  <c r="S69" i="10" s="1"/>
  <c r="L69" i="10" a="1"/>
  <c r="L69" i="10" s="1"/>
  <c r="T69" i="10" a="1"/>
  <c r="T69" i="10" s="1"/>
  <c r="V69" i="10" a="1"/>
  <c r="V69" i="10" s="1"/>
  <c r="W69" i="10" a="1"/>
  <c r="W69" i="10" s="1"/>
  <c r="G69" i="10" a="1"/>
  <c r="G69" i="10" s="1"/>
  <c r="N69" i="10" a="1"/>
  <c r="N69" i="10" s="1"/>
  <c r="J69" i="10" a="1"/>
  <c r="J69" i="10" s="1"/>
  <c r="O69" i="10" a="1"/>
  <c r="O69" i="10" s="1"/>
  <c r="P69" i="10" a="1"/>
  <c r="P69" i="10" s="1"/>
  <c r="M69" i="10" a="1"/>
  <c r="M69" i="10" s="1"/>
  <c r="R69" i="10" a="1"/>
  <c r="R69" i="10" s="1"/>
  <c r="I100" i="10" a="1"/>
  <c r="I100" i="10" s="1"/>
  <c r="I104" i="10" a="1"/>
  <c r="I104" i="10" s="1"/>
  <c r="I92" i="10" a="1"/>
  <c r="I92" i="10" s="1"/>
  <c r="I112" i="10" a="1"/>
  <c r="I112" i="10" s="1"/>
  <c r="I88" i="10" a="1"/>
  <c r="I88" i="10" s="1"/>
  <c r="I116" i="10" a="1"/>
  <c r="I116" i="10" s="1"/>
  <c r="I108" i="10" a="1"/>
  <c r="I108" i="10" s="1"/>
  <c r="I96" i="10" a="1"/>
  <c r="I96" i="10" s="1"/>
  <c r="D39" i="6" a="1"/>
  <c r="D39" i="6" s="1"/>
  <c r="C101" i="9" a="1"/>
  <c r="C101" i="9" s="1"/>
  <c r="J67" i="8"/>
  <c r="J59" i="8"/>
  <c r="J51" i="8"/>
  <c r="J43" i="8"/>
  <c r="J55" i="8"/>
  <c r="J47" i="8"/>
  <c r="J39" i="8"/>
  <c r="J63" i="8"/>
  <c r="C85" i="10"/>
  <c r="C88" i="10"/>
  <c r="C96" i="10"/>
  <c r="C107" i="10"/>
  <c r="C115" i="10"/>
  <c r="C93" i="10"/>
  <c r="C104" i="10"/>
  <c r="C112" i="10"/>
  <c r="C90" i="10"/>
  <c r="C101" i="10"/>
  <c r="C87" i="10"/>
  <c r="C95" i="10"/>
  <c r="C106" i="10"/>
  <c r="C114" i="10"/>
  <c r="C91" i="10"/>
  <c r="C92" i="10"/>
  <c r="C103" i="10"/>
  <c r="C111" i="10"/>
  <c r="C102" i="10"/>
  <c r="C89" i="10"/>
  <c r="C97" i="10"/>
  <c r="C100" i="10"/>
  <c r="C108" i="10"/>
  <c r="C116" i="10"/>
  <c r="C98" i="10"/>
  <c r="C86" i="10"/>
  <c r="C94" i="10"/>
  <c r="C105" i="10"/>
  <c r="C113" i="10"/>
  <c r="C99" i="10"/>
  <c r="C110" i="10"/>
  <c r="C109" i="10"/>
  <c r="C40" i="8"/>
  <c r="F40" i="8" s="1" a="1"/>
  <c r="F40" i="8" s="1"/>
  <c r="C50" i="8"/>
  <c r="F50" i="8" s="1" a="1"/>
  <c r="F50" i="8" s="1"/>
  <c r="C56" i="8"/>
  <c r="F56" i="8" s="1" a="1"/>
  <c r="F56" i="8" s="1"/>
  <c r="C66" i="8"/>
  <c r="F66" i="8" s="1" a="1"/>
  <c r="F66" i="8" s="1"/>
  <c r="C123" i="10"/>
  <c r="C131" i="10"/>
  <c r="C45" i="8"/>
  <c r="F45" i="8" s="1" a="1"/>
  <c r="F45" i="8" s="1"/>
  <c r="C51" i="8"/>
  <c r="F51" i="8" s="1" a="1"/>
  <c r="F51" i="8" s="1"/>
  <c r="C61" i="8"/>
  <c r="F61" i="8" s="1" a="1"/>
  <c r="F61" i="8" s="1"/>
  <c r="C67" i="8"/>
  <c r="F67" i="8" s="1" a="1"/>
  <c r="F67" i="8" s="1"/>
  <c r="C124" i="10"/>
  <c r="C132" i="10"/>
  <c r="C42" i="8"/>
  <c r="F42" i="8" s="1" a="1"/>
  <c r="F42" i="8" s="1"/>
  <c r="C48" i="8"/>
  <c r="F48" i="8" s="1" a="1"/>
  <c r="F48" i="8" s="1"/>
  <c r="C58" i="8"/>
  <c r="F58" i="8" s="1" a="1"/>
  <c r="F58" i="8" s="1"/>
  <c r="C64" i="8"/>
  <c r="F64" i="8" s="1" a="1"/>
  <c r="F64" i="8" s="1"/>
  <c r="C127" i="10"/>
  <c r="C135" i="10"/>
  <c r="C38" i="8"/>
  <c r="F38" i="8" s="1" a="1"/>
  <c r="F38" i="8" s="1"/>
  <c r="C44" i="8"/>
  <c r="F44" i="8" s="1" a="1"/>
  <c r="F44" i="8" s="1"/>
  <c r="C54" i="8"/>
  <c r="F54" i="8" s="1" a="1"/>
  <c r="F54" i="8" s="1"/>
  <c r="C60" i="8"/>
  <c r="F60" i="8" s="1" a="1"/>
  <c r="F60" i="8" s="1"/>
  <c r="C121" i="10"/>
  <c r="C49" i="8"/>
  <c r="F49" i="8" s="1" a="1"/>
  <c r="F49" i="8" s="1"/>
  <c r="C122" i="10"/>
  <c r="C46" i="8"/>
  <c r="F46" i="8" s="1" a="1"/>
  <c r="F46" i="8" s="1"/>
  <c r="C52" i="8"/>
  <c r="F52" i="8" s="1" a="1"/>
  <c r="F52" i="8" s="1"/>
  <c r="C62" i="8"/>
  <c r="F62" i="8" s="1" a="1"/>
  <c r="F62" i="8" s="1"/>
  <c r="C68" i="8"/>
  <c r="F68" i="8" s="1" a="1"/>
  <c r="F68" i="8" s="1"/>
  <c r="C125" i="10"/>
  <c r="C133" i="10"/>
  <c r="C41" i="8"/>
  <c r="F41" i="8" s="1" a="1"/>
  <c r="F41" i="8" s="1"/>
  <c r="C47" i="8"/>
  <c r="F47" i="8" s="1" a="1"/>
  <c r="F47" i="8" s="1"/>
  <c r="C57" i="8"/>
  <c r="F57" i="8" s="1" a="1"/>
  <c r="F57" i="8" s="1"/>
  <c r="C63" i="8"/>
  <c r="F63" i="8" s="1" a="1"/>
  <c r="F63" i="8" s="1"/>
  <c r="C126" i="10"/>
  <c r="C134" i="10"/>
  <c r="C37" i="8"/>
  <c r="F37" i="8" s="1" a="1"/>
  <c r="F37" i="8" s="1"/>
  <c r="C59" i="8"/>
  <c r="F59" i="8" s="1" a="1"/>
  <c r="F59" i="8" s="1"/>
  <c r="C120" i="10"/>
  <c r="C129" i="10"/>
  <c r="C39" i="8"/>
  <c r="F39" i="8" s="1" a="1"/>
  <c r="F39" i="8" s="1"/>
  <c r="C55" i="8"/>
  <c r="F55" i="8" s="1" a="1"/>
  <c r="F55" i="8" s="1"/>
  <c r="C65" i="8"/>
  <c r="F65" i="8" s="1" a="1"/>
  <c r="F65" i="8" s="1"/>
  <c r="C130" i="10"/>
  <c r="C43" i="8"/>
  <c r="F43" i="8" s="1" a="1"/>
  <c r="F43" i="8" s="1"/>
  <c r="C53" i="8"/>
  <c r="F53" i="8" s="1" a="1"/>
  <c r="F53" i="8" s="1"/>
  <c r="C128" i="10"/>
  <c r="B48" i="6"/>
  <c r="B49" i="6"/>
  <c r="B50" i="6"/>
  <c r="B51" i="6"/>
  <c r="B52" i="6"/>
  <c r="B53" i="6"/>
  <c r="B54" i="6"/>
  <c r="B55" i="6"/>
  <c r="I8" i="6"/>
  <c r="I5" i="6"/>
  <c r="B9" i="6"/>
  <c r="B8" i="6"/>
  <c r="B5" i="6"/>
  <c r="B7" i="6"/>
  <c r="B44" i="6"/>
  <c r="B45" i="6"/>
  <c r="B46" i="6"/>
  <c r="B47" i="6"/>
  <c r="B16" i="6"/>
  <c r="B18" i="6"/>
  <c r="B19" i="6"/>
  <c r="B20" i="6"/>
  <c r="B21" i="6"/>
  <c r="B36" i="6"/>
  <c r="B37" i="6"/>
  <c r="B38" i="6"/>
  <c r="B39" i="6"/>
  <c r="R101" i="9" l="1" a="1"/>
  <c r="R101" i="9" s="1"/>
  <c r="J101" i="9" a="1"/>
  <c r="J101" i="9" s="1"/>
  <c r="Q101" i="9" a="1"/>
  <c r="Q101" i="9" s="1"/>
  <c r="I101" i="9" a="1"/>
  <c r="I101" i="9" s="1"/>
  <c r="P101" i="9" a="1"/>
  <c r="P101" i="9" s="1"/>
  <c r="H101" i="9" a="1"/>
  <c r="H101" i="9" s="1"/>
  <c r="O101" i="9" a="1"/>
  <c r="O101" i="9" s="1"/>
  <c r="G101" i="9" a="1"/>
  <c r="G101" i="9" s="1"/>
  <c r="V101" i="9" a="1"/>
  <c r="V101" i="9" s="1"/>
  <c r="N101" i="9" a="1"/>
  <c r="N101" i="9" s="1"/>
  <c r="U101" i="9" a="1"/>
  <c r="U101" i="9" s="1"/>
  <c r="M101" i="9" a="1"/>
  <c r="M101" i="9" s="1"/>
  <c r="S101" i="9" a="1"/>
  <c r="S101" i="9" s="1"/>
  <c r="T101" i="9" a="1"/>
  <c r="T101" i="9" s="1"/>
  <c r="L101" i="9" a="1"/>
  <c r="L101" i="9" s="1"/>
  <c r="K101" i="9" a="1"/>
  <c r="K101" i="9" s="1"/>
  <c r="F101" i="9" a="1"/>
  <c r="F101" i="9" s="1"/>
  <c r="F105" i="10" a="1"/>
  <c r="F105" i="10" s="1"/>
  <c r="N105" i="10" s="1" a="1"/>
  <c r="N105" i="10" s="1"/>
  <c r="F89" i="10" a="1"/>
  <c r="F89" i="10" s="1"/>
  <c r="X89" i="10" s="1" a="1"/>
  <c r="X89" i="10" s="1"/>
  <c r="F95" i="10" a="1"/>
  <c r="F95" i="10" s="1"/>
  <c r="N95" i="10" s="1" a="1"/>
  <c r="N95" i="10" s="1"/>
  <c r="F107" i="10" a="1"/>
  <c r="F107" i="10" s="1"/>
  <c r="T107" i="10" s="1" a="1"/>
  <c r="T107" i="10" s="1"/>
  <c r="F94" i="10" a="1"/>
  <c r="F94" i="10" s="1"/>
  <c r="V94" i="10" s="1" a="1"/>
  <c r="V94" i="10" s="1"/>
  <c r="F102" i="10" a="1"/>
  <c r="F102" i="10" s="1"/>
  <c r="V102" i="10" s="1" a="1"/>
  <c r="V102" i="10" s="1"/>
  <c r="F87" i="10" a="1"/>
  <c r="F87" i="10" s="1"/>
  <c r="P87" i="10" s="1" a="1"/>
  <c r="P87" i="10" s="1"/>
  <c r="F96" i="10" a="1"/>
  <c r="F96" i="10" s="1"/>
  <c r="R96" i="10" s="1" a="1"/>
  <c r="R96" i="10" s="1"/>
  <c r="F86" i="10" a="1"/>
  <c r="F86" i="10" s="1"/>
  <c r="V86" i="10" s="1" a="1"/>
  <c r="V86" i="10" s="1"/>
  <c r="F111" i="10" a="1"/>
  <c r="F111" i="10" s="1"/>
  <c r="T111" i="10" s="1" a="1"/>
  <c r="T111" i="10" s="1"/>
  <c r="F101" i="10" a="1"/>
  <c r="F101" i="10" s="1"/>
  <c r="M101" i="10" s="1" a="1"/>
  <c r="M101" i="10" s="1"/>
  <c r="F88" i="10" a="1"/>
  <c r="F88" i="10" s="1"/>
  <c r="V88" i="10" s="1" a="1"/>
  <c r="V88" i="10" s="1"/>
  <c r="F98" i="10" a="1"/>
  <c r="F98" i="10" s="1"/>
  <c r="V98" i="10" s="1" a="1"/>
  <c r="V98" i="10" s="1"/>
  <c r="F103" i="10" a="1"/>
  <c r="F103" i="10" s="1"/>
  <c r="K103" i="10" s="1" a="1"/>
  <c r="K103" i="10" s="1"/>
  <c r="F90" i="10" a="1"/>
  <c r="F90" i="10" s="1"/>
  <c r="V90" i="10" s="1" a="1"/>
  <c r="V90" i="10" s="1"/>
  <c r="F85" i="10" a="1"/>
  <c r="F85" i="10" s="1"/>
  <c r="P85" i="10" s="1" a="1"/>
  <c r="P85" i="10" s="1"/>
  <c r="F109" i="10" a="1"/>
  <c r="F109" i="10" s="1"/>
  <c r="Q109" i="10" s="1" a="1"/>
  <c r="Q109" i="10" s="1"/>
  <c r="F116" i="10" a="1"/>
  <c r="F116" i="10" s="1"/>
  <c r="O116" i="10" s="1" a="1"/>
  <c r="O116" i="10" s="1"/>
  <c r="F92" i="10" a="1"/>
  <c r="F92" i="10" s="1"/>
  <c r="V92" i="10" s="1" a="1"/>
  <c r="V92" i="10" s="1"/>
  <c r="F112" i="10" a="1"/>
  <c r="F112" i="10" s="1"/>
  <c r="R112" i="10" s="1" a="1"/>
  <c r="R112" i="10" s="1"/>
  <c r="F110" i="10" a="1"/>
  <c r="F110" i="10" s="1"/>
  <c r="V110" i="10" s="1" a="1"/>
  <c r="V110" i="10" s="1"/>
  <c r="F108" i="10" a="1"/>
  <c r="F108" i="10" s="1"/>
  <c r="R108" i="10" s="1" a="1"/>
  <c r="R108" i="10" s="1"/>
  <c r="F91" i="10" a="1"/>
  <c r="F91" i="10" s="1"/>
  <c r="J91" i="10" s="1" a="1"/>
  <c r="J91" i="10" s="1"/>
  <c r="F104" i="10" a="1"/>
  <c r="F104" i="10" s="1"/>
  <c r="R104" i="10" s="1" a="1"/>
  <c r="R104" i="10" s="1"/>
  <c r="F99" i="10" a="1"/>
  <c r="F99" i="10" s="1"/>
  <c r="T99" i="10" s="1" a="1"/>
  <c r="T99" i="10" s="1"/>
  <c r="F100" i="10" a="1"/>
  <c r="F100" i="10" s="1"/>
  <c r="R100" i="10" s="1" a="1"/>
  <c r="R100" i="10" s="1"/>
  <c r="F114" i="10" a="1"/>
  <c r="F114" i="10" s="1"/>
  <c r="V114" i="10" s="1" a="1"/>
  <c r="V114" i="10" s="1"/>
  <c r="F93" i="10" a="1"/>
  <c r="F93" i="10" s="1"/>
  <c r="K93" i="10" s="1" a="1"/>
  <c r="K93" i="10" s="1"/>
  <c r="F113" i="10" a="1"/>
  <c r="F113" i="10" s="1"/>
  <c r="T113" i="10" s="1" a="1"/>
  <c r="T113" i="10" s="1"/>
  <c r="F97" i="10" a="1"/>
  <c r="F97" i="10" s="1"/>
  <c r="X97" i="10" s="1" a="1"/>
  <c r="X97" i="10" s="1"/>
  <c r="F106" i="10" a="1"/>
  <c r="F106" i="10" s="1"/>
  <c r="V106" i="10" s="1" a="1"/>
  <c r="V106" i="10" s="1"/>
  <c r="F115" i="10" a="1"/>
  <c r="F115" i="10" s="1"/>
  <c r="S115" i="10" s="1" a="1"/>
  <c r="S115" i="10" s="1"/>
  <c r="F124" i="10"/>
  <c r="F135" i="10"/>
  <c r="F129" i="10"/>
  <c r="F127" i="10"/>
  <c r="F122" i="10"/>
  <c r="F120" i="10"/>
  <c r="F128" i="10"/>
  <c r="F133" i="10"/>
  <c r="F121" i="10"/>
  <c r="F125" i="10"/>
  <c r="F131" i="10"/>
  <c r="F130" i="10"/>
  <c r="F123" i="10"/>
  <c r="F134" i="10"/>
  <c r="F126" i="10"/>
  <c r="F132" i="10"/>
  <c r="I41" i="8"/>
  <c r="I37" i="8"/>
  <c r="I61" i="8"/>
  <c r="I64" i="8"/>
  <c r="I58" i="8"/>
  <c r="I48" i="8"/>
  <c r="I54" i="8"/>
  <c r="I65" i="8"/>
  <c r="I62" i="8"/>
  <c r="I44" i="8"/>
  <c r="I66" i="8"/>
  <c r="I47" i="8"/>
  <c r="I49" i="8"/>
  <c r="I59" i="8"/>
  <c r="I60" i="8"/>
  <c r="I68" i="8"/>
  <c r="I55" i="8"/>
  <c r="I63" i="8"/>
  <c r="I52" i="8"/>
  <c r="I38" i="8"/>
  <c r="I56" i="8"/>
  <c r="I40" i="8"/>
  <c r="I51" i="8"/>
  <c r="I53" i="8"/>
  <c r="I45" i="8"/>
  <c r="I43" i="8"/>
  <c r="I42" i="8"/>
  <c r="I39" i="8"/>
  <c r="I57" i="8"/>
  <c r="I46" i="8"/>
  <c r="I67" i="8"/>
  <c r="I50" i="8"/>
  <c r="J68" i="8"/>
  <c r="J60" i="8"/>
  <c r="J52" i="8"/>
  <c r="J44" i="8"/>
  <c r="J64" i="8"/>
  <c r="J56" i="8"/>
  <c r="J48" i="8"/>
  <c r="J40" i="8"/>
  <c r="B126" i="10" a="1"/>
  <c r="B126" i="10" s="1"/>
  <c r="I126" i="10" s="1"/>
  <c r="J126" i="10" s="1" a="1"/>
  <c r="J126" i="10" s="1"/>
  <c r="B127" i="10" a="1"/>
  <c r="B127" i="10" s="1"/>
  <c r="I127" i="10" s="1"/>
  <c r="B128" i="10" a="1"/>
  <c r="B128" i="10" s="1"/>
  <c r="I128" i="10" s="1"/>
  <c r="B129" i="10" a="1"/>
  <c r="B129" i="10" s="1"/>
  <c r="I129" i="10" s="1"/>
  <c r="B130" i="10" a="1"/>
  <c r="B130" i="10" s="1"/>
  <c r="I130" i="10" s="1"/>
  <c r="U130" i="10" s="1" a="1"/>
  <c r="U130" i="10" s="1"/>
  <c r="B131" i="10" a="1"/>
  <c r="B131" i="10" s="1"/>
  <c r="I131" i="10" s="1"/>
  <c r="B132" i="10" a="1"/>
  <c r="B132" i="10" s="1"/>
  <c r="I132" i="10" s="1"/>
  <c r="U132" i="10" s="1" a="1"/>
  <c r="U132" i="10" s="1"/>
  <c r="B133" i="10" a="1"/>
  <c r="B133" i="10" s="1"/>
  <c r="I133" i="10" s="1"/>
  <c r="B134" i="10" a="1"/>
  <c r="B134" i="10" s="1"/>
  <c r="I134" i="10" s="1"/>
  <c r="Z134" i="10" s="1" a="1"/>
  <c r="Z134" i="10" s="1"/>
  <c r="B135" i="10" a="1"/>
  <c r="B135" i="10" s="1"/>
  <c r="I135" i="10" s="1"/>
  <c r="B125" i="10" a="1"/>
  <c r="B125" i="10" s="1"/>
  <c r="I125" i="10" s="1"/>
  <c r="B124" i="10" a="1"/>
  <c r="B124" i="10" s="1"/>
  <c r="I124" i="10" s="1"/>
  <c r="B123" i="10" a="1"/>
  <c r="B123" i="10" s="1"/>
  <c r="I123" i="10" s="1"/>
  <c r="R123" i="10" s="1" a="1"/>
  <c r="R123" i="10" s="1"/>
  <c r="B122" i="10" a="1"/>
  <c r="B122" i="10" s="1"/>
  <c r="I122" i="10" s="1"/>
  <c r="B121" i="10" a="1"/>
  <c r="B121" i="10" s="1"/>
  <c r="I121" i="10" s="1"/>
  <c r="B120" i="10" a="1"/>
  <c r="B120" i="10" s="1"/>
  <c r="I120" i="10" s="1"/>
  <c r="U102" i="10" l="1" a="1"/>
  <c r="U102" i="10" s="1"/>
  <c r="N114" i="10" a="1"/>
  <c r="N114" i="10" s="1"/>
  <c r="S109" i="10" a="1"/>
  <c r="S109" i="10" s="1"/>
  <c r="L111" i="10" a="1"/>
  <c r="L111" i="10" s="1"/>
  <c r="L86" i="10" a="1"/>
  <c r="L86" i="10" s="1"/>
  <c r="Q110" i="10" a="1"/>
  <c r="Q110" i="10" s="1"/>
  <c r="T110" i="10" a="1"/>
  <c r="T110" i="10" s="1"/>
  <c r="W88" i="10" a="1"/>
  <c r="W88" i="10" s="1"/>
  <c r="K86" i="10" a="1"/>
  <c r="K86" i="10" s="1"/>
  <c r="K88" i="10" a="1"/>
  <c r="K88" i="10" s="1"/>
  <c r="J86" i="10" a="1"/>
  <c r="J86" i="10" s="1"/>
  <c r="L94" i="10" a="1"/>
  <c r="L94" i="10" s="1"/>
  <c r="O88" i="10" a="1"/>
  <c r="O88" i="10" s="1"/>
  <c r="U91" i="10" a="1"/>
  <c r="U91" i="10" s="1"/>
  <c r="Z88" i="10" a="1"/>
  <c r="Z88" i="10" s="1"/>
  <c r="J101" i="10" a="1"/>
  <c r="J101" i="10" s="1"/>
  <c r="P93" i="10" a="1"/>
  <c r="P93" i="10" s="1"/>
  <c r="Y109" i="10" a="1"/>
  <c r="Y109" i="10" s="1"/>
  <c r="R88" i="10" a="1"/>
  <c r="R88" i="10" s="1"/>
  <c r="K87" i="10" a="1"/>
  <c r="K87" i="10" s="1"/>
  <c r="U88" i="10" a="1"/>
  <c r="U88" i="10" s="1"/>
  <c r="Y88" i="10" a="1"/>
  <c r="Y88" i="10" s="1"/>
  <c r="Z86" i="10" a="1"/>
  <c r="Z86" i="10" s="1"/>
  <c r="R107" i="10" a="1"/>
  <c r="R107" i="10" s="1"/>
  <c r="K112" i="10" a="1"/>
  <c r="K112" i="10" s="1"/>
  <c r="L88" i="10" a="1"/>
  <c r="L88" i="10" s="1"/>
  <c r="V101" i="10" a="1"/>
  <c r="V101" i="10" s="1"/>
  <c r="T86" i="10" a="1"/>
  <c r="T86" i="10" s="1"/>
  <c r="O102" i="10" a="1"/>
  <c r="O102" i="10" s="1"/>
  <c r="J107" i="10" a="1"/>
  <c r="J107" i="10" s="1"/>
  <c r="U92" i="10" a="1"/>
  <c r="U92" i="10" s="1"/>
  <c r="R90" i="10" a="1"/>
  <c r="R90" i="10" s="1"/>
  <c r="J88" i="10" a="1"/>
  <c r="J88" i="10" s="1"/>
  <c r="Y86" i="10" a="1"/>
  <c r="Y86" i="10" s="1"/>
  <c r="K102" i="10" a="1"/>
  <c r="K102" i="10" s="1"/>
  <c r="V95" i="10" a="1"/>
  <c r="V95" i="10" s="1"/>
  <c r="S106" i="10" a="1"/>
  <c r="S106" i="10" s="1"/>
  <c r="R95" i="10" a="1"/>
  <c r="R95" i="10" s="1"/>
  <c r="Q106" i="10" a="1"/>
  <c r="Q106" i="10" s="1"/>
  <c r="U116" i="10" a="1"/>
  <c r="U116" i="10" s="1"/>
  <c r="K96" i="10" a="1"/>
  <c r="K96" i="10" s="1"/>
  <c r="P94" i="10" a="1"/>
  <c r="P94" i="10" s="1"/>
  <c r="T97" i="10" a="1"/>
  <c r="T97" i="10" s="1"/>
  <c r="N99" i="10" a="1"/>
  <c r="N99" i="10" s="1"/>
  <c r="Y110" i="10" a="1"/>
  <c r="Y110" i="10" s="1"/>
  <c r="K97" i="10" a="1"/>
  <c r="K97" i="10" s="1"/>
  <c r="Z109" i="10" a="1"/>
  <c r="Z109" i="10" s="1"/>
  <c r="K95" i="10" a="1"/>
  <c r="K95" i="10" s="1"/>
  <c r="Y106" i="10" a="1"/>
  <c r="Y106" i="10" s="1"/>
  <c r="V97" i="10" a="1"/>
  <c r="V97" i="10" s="1"/>
  <c r="P114" i="10" a="1"/>
  <c r="P114" i="10" s="1"/>
  <c r="U110" i="10" a="1"/>
  <c r="U110" i="10" s="1"/>
  <c r="X112" i="10" a="1"/>
  <c r="X112" i="10" s="1"/>
  <c r="M109" i="10" a="1"/>
  <c r="M109" i="10" s="1"/>
  <c r="P109" i="10" a="1"/>
  <c r="P109" i="10" s="1"/>
  <c r="X86" i="10" a="1"/>
  <c r="X86" i="10" s="1"/>
  <c r="Y96" i="10" a="1"/>
  <c r="Y96" i="10" s="1"/>
  <c r="L110" i="10" a="1"/>
  <c r="L110" i="10" s="1"/>
  <c r="R109" i="10" a="1"/>
  <c r="R109" i="10" s="1"/>
  <c r="J85" i="10" a="1"/>
  <c r="J85" i="10" s="1"/>
  <c r="R86" i="10" a="1"/>
  <c r="R86" i="10" s="1"/>
  <c r="V105" i="10" a="1"/>
  <c r="V105" i="10" s="1"/>
  <c r="U113" i="10" a="1"/>
  <c r="U113" i="10" s="1"/>
  <c r="X91" i="10" a="1"/>
  <c r="X91" i="10" s="1"/>
  <c r="S97" i="10" a="1"/>
  <c r="S97" i="10" s="1"/>
  <c r="Y113" i="10" a="1"/>
  <c r="Y113" i="10" s="1"/>
  <c r="U100" i="10" a="1"/>
  <c r="U100" i="10" s="1"/>
  <c r="M91" i="10" a="1"/>
  <c r="M91" i="10" s="1"/>
  <c r="X110" i="10" a="1"/>
  <c r="X110" i="10" s="1"/>
  <c r="J92" i="10" a="1"/>
  <c r="J92" i="10" s="1"/>
  <c r="J109" i="10" a="1"/>
  <c r="J109" i="10" s="1"/>
  <c r="L85" i="10" a="1"/>
  <c r="L85" i="10" s="1"/>
  <c r="T88" i="10" a="1"/>
  <c r="T88" i="10" s="1"/>
  <c r="Q88" i="10" a="1"/>
  <c r="Q88" i="10" s="1"/>
  <c r="W86" i="10" a="1"/>
  <c r="W86" i="10" s="1"/>
  <c r="P86" i="10" a="1"/>
  <c r="P86" i="10" s="1"/>
  <c r="U87" i="10" a="1"/>
  <c r="U87" i="10" s="1"/>
  <c r="X95" i="10" a="1"/>
  <c r="X95" i="10" s="1"/>
  <c r="J105" i="10" a="1"/>
  <c r="J105" i="10" s="1"/>
  <c r="Q97" i="10" a="1"/>
  <c r="Q97" i="10" s="1"/>
  <c r="W110" i="10" a="1"/>
  <c r="W110" i="10" s="1"/>
  <c r="V109" i="10" a="1"/>
  <c r="V109" i="10" s="1"/>
  <c r="R87" i="10" a="1"/>
  <c r="R87" i="10" s="1"/>
  <c r="J94" i="10" a="1"/>
  <c r="J94" i="10" s="1"/>
  <c r="Z95" i="10" a="1"/>
  <c r="Z95" i="10" s="1"/>
  <c r="M105" i="10" a="1"/>
  <c r="M105" i="10" s="1"/>
  <c r="L97" i="10" a="1"/>
  <c r="L97" i="10" s="1"/>
  <c r="Y93" i="10" a="1"/>
  <c r="Y93" i="10" s="1"/>
  <c r="J99" i="10" a="1"/>
  <c r="J99" i="10" s="1"/>
  <c r="Z108" i="10" a="1"/>
  <c r="Z108" i="10" s="1"/>
  <c r="M110" i="10" a="1"/>
  <c r="M110" i="10" s="1"/>
  <c r="X109" i="10" a="1"/>
  <c r="X109" i="10" s="1"/>
  <c r="S90" i="10" a="1"/>
  <c r="S90" i="10" s="1"/>
  <c r="Q86" i="10" a="1"/>
  <c r="Q86" i="10" s="1"/>
  <c r="S86" i="10" a="1"/>
  <c r="S86" i="10" s="1"/>
  <c r="W87" i="10" a="1"/>
  <c r="W87" i="10" s="1"/>
  <c r="M102" i="10" a="1"/>
  <c r="M102" i="10" s="1"/>
  <c r="V107" i="10" a="1"/>
  <c r="V107" i="10" s="1"/>
  <c r="P106" i="10" a="1"/>
  <c r="P106" i="10" s="1"/>
  <c r="L113" i="10" a="1"/>
  <c r="L113" i="10" s="1"/>
  <c r="J113" i="10" a="1"/>
  <c r="J113" i="10" s="1"/>
  <c r="R93" i="10" a="1"/>
  <c r="R93" i="10" s="1"/>
  <c r="S93" i="10" a="1"/>
  <c r="S93" i="10" s="1"/>
  <c r="T100" i="10" a="1"/>
  <c r="T100" i="10" s="1"/>
  <c r="O99" i="10" a="1"/>
  <c r="O99" i="10" s="1"/>
  <c r="W104" i="10" a="1"/>
  <c r="W104" i="10" s="1"/>
  <c r="R91" i="10" a="1"/>
  <c r="R91" i="10" s="1"/>
  <c r="L91" i="10" a="1"/>
  <c r="L91" i="10" s="1"/>
  <c r="O108" i="10" a="1"/>
  <c r="O108" i="10" s="1"/>
  <c r="L116" i="10" a="1"/>
  <c r="L116" i="10" s="1"/>
  <c r="U109" i="10" a="1"/>
  <c r="U109" i="10" s="1"/>
  <c r="W109" i="10" a="1"/>
  <c r="W109" i="10" s="1"/>
  <c r="W85" i="10" a="1"/>
  <c r="W85" i="10" s="1"/>
  <c r="K90" i="10" a="1"/>
  <c r="K90" i="10" s="1"/>
  <c r="P90" i="10" a="1"/>
  <c r="P90" i="10" s="1"/>
  <c r="Q98" i="10" a="1"/>
  <c r="Q98" i="10" s="1"/>
  <c r="L101" i="10" a="1"/>
  <c r="L101" i="10" s="1"/>
  <c r="S111" i="10" a="1"/>
  <c r="S111" i="10" s="1"/>
  <c r="N87" i="10" a="1"/>
  <c r="N87" i="10" s="1"/>
  <c r="J102" i="10" a="1"/>
  <c r="J102" i="10" s="1"/>
  <c r="S102" i="10" a="1"/>
  <c r="S102" i="10" s="1"/>
  <c r="T94" i="10" a="1"/>
  <c r="T94" i="10" s="1"/>
  <c r="L107" i="10" a="1"/>
  <c r="L107" i="10" s="1"/>
  <c r="Z107" i="10" a="1"/>
  <c r="Z107" i="10" s="1"/>
  <c r="Y95" i="10" a="1"/>
  <c r="Y95" i="10" s="1"/>
  <c r="L105" i="10" a="1"/>
  <c r="L105" i="10" s="1"/>
  <c r="X104" i="10" a="1"/>
  <c r="X104" i="10" s="1"/>
  <c r="S113" i="10" a="1"/>
  <c r="S113" i="10" s="1"/>
  <c r="P98" i="10" a="1"/>
  <c r="P98" i="10" s="1"/>
  <c r="O113" i="10" a="1"/>
  <c r="O113" i="10" s="1"/>
  <c r="O93" i="10" a="1"/>
  <c r="O93" i="10" s="1"/>
  <c r="Z99" i="10" a="1"/>
  <c r="Z99" i="10" s="1"/>
  <c r="T98" i="10" a="1"/>
  <c r="T98" i="10" s="1"/>
  <c r="Q107" i="10" a="1"/>
  <c r="Q107" i="10" s="1"/>
  <c r="L90" i="10" a="1"/>
  <c r="L90" i="10" s="1"/>
  <c r="O90" i="10" a="1"/>
  <c r="O90" i="10" s="1"/>
  <c r="Z103" i="10" a="1"/>
  <c r="Z103" i="10" s="1"/>
  <c r="K98" i="10" a="1"/>
  <c r="K98" i="10" s="1"/>
  <c r="W101" i="10" a="1"/>
  <c r="W101" i="10" s="1"/>
  <c r="R111" i="10" a="1"/>
  <c r="R111" i="10" s="1"/>
  <c r="N102" i="10" a="1"/>
  <c r="N102" i="10" s="1"/>
  <c r="K94" i="10" a="1"/>
  <c r="K94" i="10" s="1"/>
  <c r="U94" i="10" a="1"/>
  <c r="U94" i="10" s="1"/>
  <c r="K107" i="10" a="1"/>
  <c r="K107" i="10" s="1"/>
  <c r="X105" i="10" a="1"/>
  <c r="X105" i="10" s="1"/>
  <c r="P104" i="10" a="1"/>
  <c r="P104" i="10" s="1"/>
  <c r="P103" i="10" a="1"/>
  <c r="P103" i="10" s="1"/>
  <c r="Z101" i="10" a="1"/>
  <c r="Z101" i="10" s="1"/>
  <c r="J93" i="10" a="1"/>
  <c r="J93" i="10" s="1"/>
  <c r="Z93" i="10" a="1"/>
  <c r="Z93" i="10" s="1"/>
  <c r="R99" i="10" a="1"/>
  <c r="R99" i="10" s="1"/>
  <c r="Z104" i="10" a="1"/>
  <c r="Z104" i="10" s="1"/>
  <c r="V108" i="10" a="1"/>
  <c r="V108" i="10" s="1"/>
  <c r="Z115" i="10" a="1"/>
  <c r="Z115" i="10" s="1"/>
  <c r="M97" i="10" a="1"/>
  <c r="M97" i="10" s="1"/>
  <c r="T93" i="10" a="1"/>
  <c r="T93" i="10" s="1"/>
  <c r="V93" i="10" a="1"/>
  <c r="V93" i="10" s="1"/>
  <c r="M99" i="10" a="1"/>
  <c r="M99" i="10" s="1"/>
  <c r="Y104" i="10" a="1"/>
  <c r="Y104" i="10" s="1"/>
  <c r="S104" i="10" a="1"/>
  <c r="S104" i="10" s="1"/>
  <c r="K91" i="10" a="1"/>
  <c r="K91" i="10" s="1"/>
  <c r="N108" i="10" a="1"/>
  <c r="N108" i="10" s="1"/>
  <c r="Z110" i="10" a="1"/>
  <c r="Z110" i="10" s="1"/>
  <c r="P110" i="10" a="1"/>
  <c r="P110" i="10" s="1"/>
  <c r="M92" i="10" a="1"/>
  <c r="M92" i="10" s="1"/>
  <c r="Q116" i="10" a="1"/>
  <c r="Q116" i="10" s="1"/>
  <c r="T109" i="10" a="1"/>
  <c r="T109" i="10" s="1"/>
  <c r="L109" i="10" a="1"/>
  <c r="L109" i="10" s="1"/>
  <c r="K85" i="10" a="1"/>
  <c r="K85" i="10" s="1"/>
  <c r="N90" i="10" a="1"/>
  <c r="N90" i="10" s="1"/>
  <c r="Z90" i="10" a="1"/>
  <c r="Z90" i="10" s="1"/>
  <c r="Y103" i="10" a="1"/>
  <c r="Y103" i="10" s="1"/>
  <c r="N98" i="10" a="1"/>
  <c r="N98" i="10" s="1"/>
  <c r="P101" i="10" a="1"/>
  <c r="P101" i="10" s="1"/>
  <c r="N111" i="10" a="1"/>
  <c r="N111" i="10" s="1"/>
  <c r="O86" i="10" a="1"/>
  <c r="O86" i="10" s="1"/>
  <c r="U86" i="10" a="1"/>
  <c r="U86" i="10" s="1"/>
  <c r="X87" i="10" a="1"/>
  <c r="X87" i="10" s="1"/>
  <c r="L102" i="10" a="1"/>
  <c r="L102" i="10" s="1"/>
  <c r="T102" i="10" a="1"/>
  <c r="T102" i="10" s="1"/>
  <c r="Q94" i="10" a="1"/>
  <c r="Q94" i="10" s="1"/>
  <c r="N94" i="10" a="1"/>
  <c r="N94" i="10" s="1"/>
  <c r="X107" i="10" a="1"/>
  <c r="X107" i="10" s="1"/>
  <c r="Q95" i="10" a="1"/>
  <c r="Q95" i="10" s="1"/>
  <c r="J89" i="10" a="1"/>
  <c r="J89" i="10" s="1"/>
  <c r="K105" i="10" a="1"/>
  <c r="K105" i="10" s="1"/>
  <c r="N93" i="10" a="1"/>
  <c r="N93" i="10" s="1"/>
  <c r="S116" i="10" a="1"/>
  <c r="S116" i="10" s="1"/>
  <c r="Q90" i="10" a="1"/>
  <c r="Q90" i="10" s="1"/>
  <c r="X93" i="10" a="1"/>
  <c r="X93" i="10" s="1"/>
  <c r="V104" i="10" a="1"/>
  <c r="V104" i="10" s="1"/>
  <c r="N91" i="10" a="1"/>
  <c r="N91" i="10" s="1"/>
  <c r="N116" i="10" a="1"/>
  <c r="N116" i="10" s="1"/>
  <c r="W90" i="10" a="1"/>
  <c r="W90" i="10" s="1"/>
  <c r="Z113" i="10" a="1"/>
  <c r="Z113" i="10" s="1"/>
  <c r="N104" i="10" a="1"/>
  <c r="N104" i="10" s="1"/>
  <c r="O91" i="10" a="1"/>
  <c r="O91" i="10" s="1"/>
  <c r="Y116" i="10" a="1"/>
  <c r="Y116" i="10" s="1"/>
  <c r="Z97" i="10" a="1"/>
  <c r="Z97" i="10" s="1"/>
  <c r="P113" i="10" a="1"/>
  <c r="P113" i="10" s="1"/>
  <c r="J115" i="10" a="1"/>
  <c r="J115" i="10" s="1"/>
  <c r="Y97" i="10" a="1"/>
  <c r="Y97" i="10" s="1"/>
  <c r="O97" i="10" a="1"/>
  <c r="O97" i="10" s="1"/>
  <c r="Q113" i="10" a="1"/>
  <c r="Q113" i="10" s="1"/>
  <c r="Q93" i="10" a="1"/>
  <c r="Q93" i="10" s="1"/>
  <c r="L93" i="10" a="1"/>
  <c r="L93" i="10" s="1"/>
  <c r="Q100" i="10" a="1"/>
  <c r="Q100" i="10" s="1"/>
  <c r="L99" i="10" a="1"/>
  <c r="L99" i="10" s="1"/>
  <c r="T104" i="10" a="1"/>
  <c r="T104" i="10" s="1"/>
  <c r="U104" i="10" a="1"/>
  <c r="U104" i="10" s="1"/>
  <c r="S91" i="10" a="1"/>
  <c r="S91" i="10" s="1"/>
  <c r="L108" i="10" a="1"/>
  <c r="L108" i="10" s="1"/>
  <c r="N110" i="10" a="1"/>
  <c r="N110" i="10" s="1"/>
  <c r="O110" i="10" a="1"/>
  <c r="O110" i="10" s="1"/>
  <c r="Z92" i="10" a="1"/>
  <c r="Z92" i="10" s="1"/>
  <c r="V116" i="10" a="1"/>
  <c r="V116" i="10" s="1"/>
  <c r="K109" i="10" a="1"/>
  <c r="K109" i="10" s="1"/>
  <c r="O109" i="10" a="1"/>
  <c r="O109" i="10" s="1"/>
  <c r="N85" i="10" a="1"/>
  <c r="N85" i="10" s="1"/>
  <c r="U90" i="10" a="1"/>
  <c r="U90" i="10" s="1"/>
  <c r="X90" i="10" a="1"/>
  <c r="X90" i="10" s="1"/>
  <c r="V103" i="10" a="1"/>
  <c r="V103" i="10" s="1"/>
  <c r="Y98" i="10" a="1"/>
  <c r="Y98" i="10" s="1"/>
  <c r="M88" i="10" a="1"/>
  <c r="M88" i="10" s="1"/>
  <c r="K101" i="10" a="1"/>
  <c r="K101" i="10" s="1"/>
  <c r="N101" i="10" a="1"/>
  <c r="N101" i="10" s="1"/>
  <c r="J111" i="10" a="1"/>
  <c r="J111" i="10" s="1"/>
  <c r="N86" i="10" a="1"/>
  <c r="N86" i="10" s="1"/>
  <c r="M86" i="10" a="1"/>
  <c r="M86" i="10" s="1"/>
  <c r="L87" i="10" a="1"/>
  <c r="L87" i="10" s="1"/>
  <c r="W102" i="10" a="1"/>
  <c r="W102" i="10" s="1"/>
  <c r="Z102" i="10" a="1"/>
  <c r="Z102" i="10" s="1"/>
  <c r="O94" i="10" a="1"/>
  <c r="O94" i="10" s="1"/>
  <c r="M94" i="10" a="1"/>
  <c r="M94" i="10" s="1"/>
  <c r="N107" i="10" a="1"/>
  <c r="N107" i="10" s="1"/>
  <c r="P95" i="10" a="1"/>
  <c r="P95" i="10" s="1"/>
  <c r="P89" i="10" a="1"/>
  <c r="P89" i="10" s="1"/>
  <c r="U105" i="10" a="1"/>
  <c r="U105" i="10" s="1"/>
  <c r="Q111" i="10" a="1"/>
  <c r="Q111" i="10" s="1"/>
  <c r="X102" i="10" a="1"/>
  <c r="X102" i="10" s="1"/>
  <c r="X113" i="10" a="1"/>
  <c r="X113" i="10" s="1"/>
  <c r="M93" i="10" a="1"/>
  <c r="M93" i="10" s="1"/>
  <c r="W93" i="10" a="1"/>
  <c r="W93" i="10" s="1"/>
  <c r="Z100" i="10" a="1"/>
  <c r="Z100" i="10" s="1"/>
  <c r="K99" i="10" a="1"/>
  <c r="K99" i="10" s="1"/>
  <c r="Q104" i="10" a="1"/>
  <c r="Q104" i="10" s="1"/>
  <c r="L104" i="10" a="1"/>
  <c r="L104" i="10" s="1"/>
  <c r="P91" i="10" a="1"/>
  <c r="P91" i="10" s="1"/>
  <c r="X108" i="10" a="1"/>
  <c r="X108" i="10" s="1"/>
  <c r="S110" i="10" a="1"/>
  <c r="S110" i="10" s="1"/>
  <c r="K110" i="10" a="1"/>
  <c r="K110" i="10" s="1"/>
  <c r="J116" i="10" a="1"/>
  <c r="J116" i="10" s="1"/>
  <c r="N109" i="10" a="1"/>
  <c r="N109" i="10" s="1"/>
  <c r="Z85" i="10" a="1"/>
  <c r="Z85" i="10" s="1"/>
  <c r="M90" i="10" a="1"/>
  <c r="M90" i="10" s="1"/>
  <c r="J90" i="10" a="1"/>
  <c r="J90" i="10" s="1"/>
  <c r="S103" i="10" a="1"/>
  <c r="S103" i="10" s="1"/>
  <c r="W98" i="10" a="1"/>
  <c r="W98" i="10" s="1"/>
  <c r="U101" i="10" a="1"/>
  <c r="U101" i="10" s="1"/>
  <c r="Q101" i="10" a="1"/>
  <c r="Q101" i="10" s="1"/>
  <c r="P111" i="10" a="1"/>
  <c r="P111" i="10" s="1"/>
  <c r="Y102" i="10" a="1"/>
  <c r="Y102" i="10" s="1"/>
  <c r="R102" i="10" a="1"/>
  <c r="R102" i="10" s="1"/>
  <c r="X94" i="10" a="1"/>
  <c r="X94" i="10" s="1"/>
  <c r="S94" i="10" a="1"/>
  <c r="S94" i="10" s="1"/>
  <c r="W107" i="10" a="1"/>
  <c r="W107" i="10" s="1"/>
  <c r="N115" i="10" a="1"/>
  <c r="N115" i="10" s="1"/>
  <c r="M106" i="10" a="1"/>
  <c r="M106" i="10" s="1"/>
  <c r="W113" i="10" a="1"/>
  <c r="W113" i="10" s="1"/>
  <c r="K113" i="10" a="1"/>
  <c r="K113" i="10" s="1"/>
  <c r="K114" i="10" a="1"/>
  <c r="K114" i="10" s="1"/>
  <c r="W114" i="10" a="1"/>
  <c r="W114" i="10" s="1"/>
  <c r="X100" i="10" a="1"/>
  <c r="X100" i="10" s="1"/>
  <c r="N100" i="10" a="1"/>
  <c r="N100" i="10" s="1"/>
  <c r="X99" i="10" a="1"/>
  <c r="X99" i="10" s="1"/>
  <c r="Y99" i="10" a="1"/>
  <c r="Y99" i="10" s="1"/>
  <c r="V91" i="10" a="1"/>
  <c r="V91" i="10" s="1"/>
  <c r="Q91" i="10" a="1"/>
  <c r="Q91" i="10" s="1"/>
  <c r="Q108" i="10" a="1"/>
  <c r="Q108" i="10" s="1"/>
  <c r="P108" i="10" a="1"/>
  <c r="P108" i="10" s="1"/>
  <c r="L112" i="10" a="1"/>
  <c r="L112" i="10" s="1"/>
  <c r="Q112" i="10" a="1"/>
  <c r="Q112" i="10" s="1"/>
  <c r="Y92" i="10" a="1"/>
  <c r="Y92" i="10" s="1"/>
  <c r="T92" i="10" a="1"/>
  <c r="T92" i="10" s="1"/>
  <c r="Z116" i="10" a="1"/>
  <c r="Z116" i="10" s="1"/>
  <c r="R116" i="10" a="1"/>
  <c r="R116" i="10" s="1"/>
  <c r="U85" i="10" a="1"/>
  <c r="U85" i="10" s="1"/>
  <c r="T85" i="10" a="1"/>
  <c r="T85" i="10" s="1"/>
  <c r="M103" i="10" a="1"/>
  <c r="M103" i="10" s="1"/>
  <c r="O103" i="10" a="1"/>
  <c r="O103" i="10" s="1"/>
  <c r="J98" i="10" a="1"/>
  <c r="J98" i="10" s="1"/>
  <c r="M98" i="10" a="1"/>
  <c r="M98" i="10" s="1"/>
  <c r="S101" i="10" a="1"/>
  <c r="S101" i="10" s="1"/>
  <c r="T101" i="10" a="1"/>
  <c r="T101" i="10" s="1"/>
  <c r="U111" i="10" a="1"/>
  <c r="U111" i="10" s="1"/>
  <c r="O111" i="10" a="1"/>
  <c r="O111" i="10" s="1"/>
  <c r="W96" i="10" a="1"/>
  <c r="W96" i="10" s="1"/>
  <c r="L96" i="10" a="1"/>
  <c r="L96" i="10" s="1"/>
  <c r="Q87" i="10" a="1"/>
  <c r="Q87" i="10" s="1"/>
  <c r="S87" i="10" a="1"/>
  <c r="S87" i="10" s="1"/>
  <c r="R94" i="10" a="1"/>
  <c r="R94" i="10" s="1"/>
  <c r="Y94" i="10" a="1"/>
  <c r="Y94" i="10" s="1"/>
  <c r="U107" i="10" a="1"/>
  <c r="U107" i="10" s="1"/>
  <c r="S107" i="10" a="1"/>
  <c r="S107" i="10" s="1"/>
  <c r="L95" i="10" a="1"/>
  <c r="L95" i="10" s="1"/>
  <c r="W95" i="10" a="1"/>
  <c r="W95" i="10" s="1"/>
  <c r="O89" i="10" a="1"/>
  <c r="O89" i="10" s="1"/>
  <c r="T89" i="10" a="1"/>
  <c r="T89" i="10" s="1"/>
  <c r="O105" i="10" a="1"/>
  <c r="O105" i="10" s="1"/>
  <c r="Q105" i="10" a="1"/>
  <c r="Q105" i="10" s="1"/>
  <c r="P115" i="10" a="1"/>
  <c r="P115" i="10" s="1"/>
  <c r="J106" i="10" a="1"/>
  <c r="J106" i="10" s="1"/>
  <c r="O115" i="10" a="1"/>
  <c r="O115" i="10" s="1"/>
  <c r="M115" i="10" a="1"/>
  <c r="M115" i="10" s="1"/>
  <c r="U106" i="10" a="1"/>
  <c r="U106" i="10" s="1"/>
  <c r="L106" i="10" a="1"/>
  <c r="L106" i="10" s="1"/>
  <c r="U97" i="10" a="1"/>
  <c r="U97" i="10" s="1"/>
  <c r="P97" i="10" a="1"/>
  <c r="P97" i="10" s="1"/>
  <c r="R115" i="10" a="1"/>
  <c r="R115" i="10" s="1"/>
  <c r="X115" i="10" a="1"/>
  <c r="X115" i="10" s="1"/>
  <c r="Z106" i="10" a="1"/>
  <c r="Z106" i="10" s="1"/>
  <c r="R106" i="10" a="1"/>
  <c r="R106" i="10" s="1"/>
  <c r="N97" i="10" a="1"/>
  <c r="N97" i="10" s="1"/>
  <c r="R97" i="10" a="1"/>
  <c r="R97" i="10" s="1"/>
  <c r="R113" i="10" a="1"/>
  <c r="R113" i="10" s="1"/>
  <c r="M113" i="10" a="1"/>
  <c r="M113" i="10" s="1"/>
  <c r="N113" i="10" a="1"/>
  <c r="N113" i="10" s="1"/>
  <c r="U93" i="10" a="1"/>
  <c r="U93" i="10" s="1"/>
  <c r="Q114" i="10" a="1"/>
  <c r="Q114" i="10" s="1"/>
  <c r="O114" i="10" a="1"/>
  <c r="O114" i="10" s="1"/>
  <c r="P100" i="10" a="1"/>
  <c r="P100" i="10" s="1"/>
  <c r="L100" i="10" a="1"/>
  <c r="L100" i="10" s="1"/>
  <c r="V99" i="10" a="1"/>
  <c r="V99" i="10" s="1"/>
  <c r="Q99" i="10" a="1"/>
  <c r="Q99" i="10" s="1"/>
  <c r="K104" i="10" a="1"/>
  <c r="K104" i="10" s="1"/>
  <c r="O104" i="10" a="1"/>
  <c r="O104" i="10" s="1"/>
  <c r="Y91" i="10" a="1"/>
  <c r="Y91" i="10" s="1"/>
  <c r="W91" i="10" a="1"/>
  <c r="W91" i="10" s="1"/>
  <c r="T91" i="10" a="1"/>
  <c r="T91" i="10" s="1"/>
  <c r="W108" i="10" a="1"/>
  <c r="W108" i="10" s="1"/>
  <c r="M108" i="10" a="1"/>
  <c r="M108" i="10" s="1"/>
  <c r="J110" i="10" a="1"/>
  <c r="J110" i="10" s="1"/>
  <c r="R110" i="10" a="1"/>
  <c r="R110" i="10" s="1"/>
  <c r="M112" i="10" a="1"/>
  <c r="M112" i="10" s="1"/>
  <c r="W112" i="10" a="1"/>
  <c r="W112" i="10" s="1"/>
  <c r="K92" i="10" a="1"/>
  <c r="K92" i="10" s="1"/>
  <c r="R92" i="10" a="1"/>
  <c r="R92" i="10" s="1"/>
  <c r="P116" i="10" a="1"/>
  <c r="P116" i="10" s="1"/>
  <c r="K116" i="10" a="1"/>
  <c r="K116" i="10" s="1"/>
  <c r="O85" i="10" a="1"/>
  <c r="O85" i="10" s="1"/>
  <c r="X85" i="10" a="1"/>
  <c r="X85" i="10" s="1"/>
  <c r="Y90" i="10" a="1"/>
  <c r="Y90" i="10" s="1"/>
  <c r="T90" i="10" a="1"/>
  <c r="T90" i="10" s="1"/>
  <c r="N103" i="10" a="1"/>
  <c r="N103" i="10" s="1"/>
  <c r="R103" i="10" a="1"/>
  <c r="R103" i="10" s="1"/>
  <c r="X98" i="10" a="1"/>
  <c r="X98" i="10" s="1"/>
  <c r="Z98" i="10" a="1"/>
  <c r="Z98" i="10" s="1"/>
  <c r="N88" i="10" a="1"/>
  <c r="N88" i="10" s="1"/>
  <c r="S88" i="10" a="1"/>
  <c r="S88" i="10" s="1"/>
  <c r="Y101" i="10" a="1"/>
  <c r="Y101" i="10" s="1"/>
  <c r="O101" i="10" a="1"/>
  <c r="O101" i="10" s="1"/>
  <c r="X101" i="10" a="1"/>
  <c r="X101" i="10" s="1"/>
  <c r="K111" i="10" a="1"/>
  <c r="K111" i="10" s="1"/>
  <c r="M111" i="10" a="1"/>
  <c r="M111" i="10" s="1"/>
  <c r="O96" i="10" a="1"/>
  <c r="O96" i="10" s="1"/>
  <c r="T96" i="10" a="1"/>
  <c r="T96" i="10" s="1"/>
  <c r="T87" i="10" a="1"/>
  <c r="T87" i="10" s="1"/>
  <c r="O87" i="10" a="1"/>
  <c r="O87" i="10" s="1"/>
  <c r="P107" i="10" a="1"/>
  <c r="P107" i="10" s="1"/>
  <c r="Y107" i="10" a="1"/>
  <c r="Y107" i="10" s="1"/>
  <c r="J95" i="10" a="1"/>
  <c r="J95" i="10" s="1"/>
  <c r="U95" i="10" a="1"/>
  <c r="U95" i="10" s="1"/>
  <c r="K89" i="10" a="1"/>
  <c r="K89" i="10" s="1"/>
  <c r="Q89" i="10" a="1"/>
  <c r="Q89" i="10" s="1"/>
  <c r="S105" i="10" a="1"/>
  <c r="S105" i="10" s="1"/>
  <c r="T105" i="10" a="1"/>
  <c r="T105" i="10" s="1"/>
  <c r="R114" i="10" a="1"/>
  <c r="R114" i="10" s="1"/>
  <c r="W115" i="10" a="1"/>
  <c r="W115" i="10" s="1"/>
  <c r="K115" i="10" a="1"/>
  <c r="K115" i="10" s="1"/>
  <c r="X106" i="10" a="1"/>
  <c r="X106" i="10" s="1"/>
  <c r="W106" i="10" a="1"/>
  <c r="W106" i="10" s="1"/>
  <c r="J114" i="10" a="1"/>
  <c r="J114" i="10" s="1"/>
  <c r="T114" i="10" a="1"/>
  <c r="T114" i="10" s="1"/>
  <c r="W100" i="10" a="1"/>
  <c r="W100" i="10" s="1"/>
  <c r="J100" i="10" a="1"/>
  <c r="J100" i="10" s="1"/>
  <c r="S99" i="10" a="1"/>
  <c r="S99" i="10" s="1"/>
  <c r="W99" i="10" a="1"/>
  <c r="W99" i="10" s="1"/>
  <c r="J108" i="10" a="1"/>
  <c r="J108" i="10" s="1"/>
  <c r="S108" i="10" a="1"/>
  <c r="S108" i="10" s="1"/>
  <c r="V112" i="10" a="1"/>
  <c r="V112" i="10" s="1"/>
  <c r="J112" i="10" a="1"/>
  <c r="J112" i="10" s="1"/>
  <c r="Q92" i="10" a="1"/>
  <c r="Q92" i="10" s="1"/>
  <c r="P92" i="10" a="1"/>
  <c r="P92" i="10" s="1"/>
  <c r="T116" i="10" a="1"/>
  <c r="T116" i="10" s="1"/>
  <c r="M116" i="10" a="1"/>
  <c r="M116" i="10" s="1"/>
  <c r="Y85" i="10" a="1"/>
  <c r="Y85" i="10" s="1"/>
  <c r="S85" i="10" a="1"/>
  <c r="S85" i="10" s="1"/>
  <c r="M85" i="10" a="1"/>
  <c r="M85" i="10" s="1"/>
  <c r="Q103" i="10" a="1"/>
  <c r="Q103" i="10" s="1"/>
  <c r="W103" i="10" a="1"/>
  <c r="W103" i="10" s="1"/>
  <c r="R98" i="10" a="1"/>
  <c r="R98" i="10" s="1"/>
  <c r="O98" i="10" a="1"/>
  <c r="O98" i="10" s="1"/>
  <c r="V111" i="10" a="1"/>
  <c r="V111" i="10" s="1"/>
  <c r="Z111" i="10" a="1"/>
  <c r="Z111" i="10" s="1"/>
  <c r="Z96" i="10" a="1"/>
  <c r="Z96" i="10" s="1"/>
  <c r="X96" i="10" a="1"/>
  <c r="X96" i="10" s="1"/>
  <c r="Y87" i="10" a="1"/>
  <c r="Y87" i="10" s="1"/>
  <c r="Z87" i="10" a="1"/>
  <c r="Z87" i="10" s="1"/>
  <c r="T95" i="10" a="1"/>
  <c r="T95" i="10" s="1"/>
  <c r="O95" i="10" a="1"/>
  <c r="O95" i="10" s="1"/>
  <c r="W89" i="10" a="1"/>
  <c r="W89" i="10" s="1"/>
  <c r="M89" i="10" a="1"/>
  <c r="M89" i="10" s="1"/>
  <c r="W105" i="10" a="1"/>
  <c r="W105" i="10" s="1"/>
  <c r="R105" i="10" a="1"/>
  <c r="R105" i="10" s="1"/>
  <c r="U115" i="10" a="1"/>
  <c r="U115" i="10" s="1"/>
  <c r="M114" i="10" a="1"/>
  <c r="M114" i="10" s="1"/>
  <c r="K100" i="10" a="1"/>
  <c r="K100" i="10" s="1"/>
  <c r="U112" i="10" a="1"/>
  <c r="U112" i="10" s="1"/>
  <c r="O112" i="10" a="1"/>
  <c r="O112" i="10" s="1"/>
  <c r="W92" i="10" a="1"/>
  <c r="W92" i="10" s="1"/>
  <c r="L92" i="10" a="1"/>
  <c r="L92" i="10" s="1"/>
  <c r="T103" i="10" a="1"/>
  <c r="T103" i="10" s="1"/>
  <c r="L103" i="10" a="1"/>
  <c r="L103" i="10" s="1"/>
  <c r="S98" i="10" a="1"/>
  <c r="S98" i="10" s="1"/>
  <c r="U96" i="10" a="1"/>
  <c r="U96" i="10" s="1"/>
  <c r="V96" i="10" a="1"/>
  <c r="V96" i="10" s="1"/>
  <c r="M87" i="10" a="1"/>
  <c r="M87" i="10" s="1"/>
  <c r="V87" i="10" a="1"/>
  <c r="V87" i="10" s="1"/>
  <c r="S89" i="10" a="1"/>
  <c r="S89" i="10" s="1"/>
  <c r="Y89" i="10" a="1"/>
  <c r="Y89" i="10" s="1"/>
  <c r="Z105" i="10" a="1"/>
  <c r="Z105" i="10" s="1"/>
  <c r="Y105" i="10" a="1"/>
  <c r="Y105" i="10" s="1"/>
  <c r="T115" i="10" a="1"/>
  <c r="T115" i="10" s="1"/>
  <c r="L115" i="10" a="1"/>
  <c r="L115" i="10" s="1"/>
  <c r="N106" i="10" a="1"/>
  <c r="N106" i="10" s="1"/>
  <c r="K106" i="10" a="1"/>
  <c r="K106" i="10" s="1"/>
  <c r="U114" i="10" a="1"/>
  <c r="U114" i="10" s="1"/>
  <c r="M100" i="10" a="1"/>
  <c r="M100" i="10" s="1"/>
  <c r="Q115" i="10" a="1"/>
  <c r="Q115" i="10" s="1"/>
  <c r="V115" i="10" a="1"/>
  <c r="V115" i="10" s="1"/>
  <c r="T106" i="10" a="1"/>
  <c r="T106" i="10" s="1"/>
  <c r="O106" i="10" a="1"/>
  <c r="O106" i="10" s="1"/>
  <c r="J97" i="10" a="1"/>
  <c r="J97" i="10" s="1"/>
  <c r="W97" i="10" a="1"/>
  <c r="W97" i="10" s="1"/>
  <c r="V113" i="10" a="1"/>
  <c r="V113" i="10" s="1"/>
  <c r="Z114" i="10" a="1"/>
  <c r="Z114" i="10" s="1"/>
  <c r="X114" i="10" a="1"/>
  <c r="X114" i="10" s="1"/>
  <c r="O100" i="10" a="1"/>
  <c r="O100" i="10" s="1"/>
  <c r="Y100" i="10" a="1"/>
  <c r="Y100" i="10" s="1"/>
  <c r="P99" i="10" a="1"/>
  <c r="P99" i="10" s="1"/>
  <c r="U99" i="10" a="1"/>
  <c r="U99" i="10" s="1"/>
  <c r="M104" i="10" a="1"/>
  <c r="M104" i="10" s="1"/>
  <c r="J104" i="10" a="1"/>
  <c r="J104" i="10" s="1"/>
  <c r="Z91" i="10" a="1"/>
  <c r="Z91" i="10" s="1"/>
  <c r="U108" i="10" a="1"/>
  <c r="U108" i="10" s="1"/>
  <c r="T108" i="10" a="1"/>
  <c r="T108" i="10" s="1"/>
  <c r="N112" i="10" a="1"/>
  <c r="N112" i="10" s="1"/>
  <c r="Z112" i="10" a="1"/>
  <c r="Z112" i="10" s="1"/>
  <c r="O92" i="10" a="1"/>
  <c r="O92" i="10" s="1"/>
  <c r="N92" i="10" a="1"/>
  <c r="N92" i="10" s="1"/>
  <c r="W116" i="10" a="1"/>
  <c r="W116" i="10" s="1"/>
  <c r="X116" i="10" a="1"/>
  <c r="X116" i="10" s="1"/>
  <c r="R85" i="10" a="1"/>
  <c r="R85" i="10" s="1"/>
  <c r="Q85" i="10" a="1"/>
  <c r="Q85" i="10" s="1"/>
  <c r="U103" i="10" a="1"/>
  <c r="U103" i="10" s="1"/>
  <c r="J103" i="10" a="1"/>
  <c r="J103" i="10" s="1"/>
  <c r="U98" i="10" a="1"/>
  <c r="U98" i="10" s="1"/>
  <c r="L98" i="10" a="1"/>
  <c r="L98" i="10" s="1"/>
  <c r="P88" i="10" a="1"/>
  <c r="P88" i="10" s="1"/>
  <c r="X88" i="10" a="1"/>
  <c r="X88" i="10" s="1"/>
  <c r="R101" i="10" a="1"/>
  <c r="R101" i="10" s="1"/>
  <c r="Y111" i="10" a="1"/>
  <c r="Y111" i="10" s="1"/>
  <c r="X111" i="10" a="1"/>
  <c r="X111" i="10" s="1"/>
  <c r="S96" i="10" a="1"/>
  <c r="S96" i="10" s="1"/>
  <c r="M96" i="10" a="1"/>
  <c r="M96" i="10" s="1"/>
  <c r="J87" i="10" a="1"/>
  <c r="J87" i="10" s="1"/>
  <c r="Q102" i="10" a="1"/>
  <c r="Q102" i="10" s="1"/>
  <c r="P102" i="10" a="1"/>
  <c r="P102" i="10" s="1"/>
  <c r="Z94" i="10" a="1"/>
  <c r="Z94" i="10" s="1"/>
  <c r="W94" i="10" a="1"/>
  <c r="W94" i="10" s="1"/>
  <c r="M107" i="10" a="1"/>
  <c r="M107" i="10" s="1"/>
  <c r="O107" i="10" a="1"/>
  <c r="O107" i="10" s="1"/>
  <c r="S95" i="10" a="1"/>
  <c r="S95" i="10" s="1"/>
  <c r="M95" i="10" a="1"/>
  <c r="M95" i="10" s="1"/>
  <c r="N89" i="10" a="1"/>
  <c r="N89" i="10" s="1"/>
  <c r="R89" i="10" a="1"/>
  <c r="R89" i="10" s="1"/>
  <c r="U89" i="10" a="1"/>
  <c r="U89" i="10" s="1"/>
  <c r="P105" i="10" a="1"/>
  <c r="P105" i="10" s="1"/>
  <c r="S114" i="10" a="1"/>
  <c r="S114" i="10" s="1"/>
  <c r="P112" i="10" a="1"/>
  <c r="P112" i="10" s="1"/>
  <c r="Y112" i="10" a="1"/>
  <c r="Y112" i="10" s="1"/>
  <c r="P96" i="10" a="1"/>
  <c r="P96" i="10" s="1"/>
  <c r="J96" i="10" a="1"/>
  <c r="J96" i="10" s="1"/>
  <c r="Z89" i="10" a="1"/>
  <c r="Z89" i="10" s="1"/>
  <c r="L89" i="10" a="1"/>
  <c r="L89" i="10" s="1"/>
  <c r="Y115" i="10" a="1"/>
  <c r="Y115" i="10" s="1"/>
  <c r="Y114" i="10" a="1"/>
  <c r="Y114" i="10" s="1"/>
  <c r="L114" i="10" a="1"/>
  <c r="L114" i="10" s="1"/>
  <c r="V100" i="10" a="1"/>
  <c r="V100" i="10" s="1"/>
  <c r="S100" i="10" a="1"/>
  <c r="S100" i="10" s="1"/>
  <c r="Y108" i="10" a="1"/>
  <c r="Y108" i="10" s="1"/>
  <c r="K108" i="10" a="1"/>
  <c r="K108" i="10" s="1"/>
  <c r="T112" i="10" a="1"/>
  <c r="T112" i="10" s="1"/>
  <c r="S112" i="10" a="1"/>
  <c r="S112" i="10" s="1"/>
  <c r="S92" i="10" a="1"/>
  <c r="S92" i="10" s="1"/>
  <c r="X92" i="10" a="1"/>
  <c r="X92" i="10" s="1"/>
  <c r="V85" i="10" a="1"/>
  <c r="V85" i="10" s="1"/>
  <c r="X103" i="10" a="1"/>
  <c r="X103" i="10" s="1"/>
  <c r="W111" i="10" a="1"/>
  <c r="W111" i="10" s="1"/>
  <c r="Q96" i="10" a="1"/>
  <c r="Q96" i="10" s="1"/>
  <c r="N96" i="10" a="1"/>
  <c r="N96" i="10" s="1"/>
  <c r="V89" i="10" a="1"/>
  <c r="V89" i="10" s="1"/>
  <c r="T131" i="10" a="1"/>
  <c r="T131" i="10" s="1"/>
  <c r="W131" i="10" a="1"/>
  <c r="W131" i="10" s="1"/>
  <c r="L131" i="10" a="1"/>
  <c r="L131" i="10" s="1"/>
  <c r="O131" i="10" a="1"/>
  <c r="O131" i="10" s="1"/>
  <c r="S131" i="10" a="1"/>
  <c r="S131" i="10" s="1"/>
  <c r="J131" i="10" a="1"/>
  <c r="J131" i="10" s="1"/>
  <c r="K131" i="10" a="1"/>
  <c r="K131" i="10" s="1"/>
  <c r="V131" i="10" a="1"/>
  <c r="V131" i="10" s="1"/>
  <c r="Z131" i="10" a="1"/>
  <c r="Z131" i="10" s="1"/>
  <c r="N131" i="10" a="1"/>
  <c r="N131" i="10" s="1"/>
  <c r="R131" i="10" a="1"/>
  <c r="R131" i="10" s="1"/>
  <c r="X131" i="10" a="1"/>
  <c r="X131" i="10" s="1"/>
  <c r="U131" i="10" a="1"/>
  <c r="U131" i="10" s="1"/>
  <c r="Y131" i="10" a="1"/>
  <c r="Y131" i="10" s="1"/>
  <c r="P131" i="10" a="1"/>
  <c r="P131" i="10" s="1"/>
  <c r="M131" i="10" a="1"/>
  <c r="M131" i="10" s="1"/>
  <c r="Q131" i="10" a="1"/>
  <c r="Q131" i="10" s="1"/>
  <c r="Y132" i="10" a="1"/>
  <c r="Y132" i="10" s="1"/>
  <c r="T124" i="10" a="1"/>
  <c r="T124" i="10" s="1"/>
  <c r="W124" i="10" a="1"/>
  <c r="W124" i="10" s="1"/>
  <c r="L124" i="10" a="1"/>
  <c r="L124" i="10" s="1"/>
  <c r="O124" i="10" a="1"/>
  <c r="O124" i="10" s="1"/>
  <c r="S124" i="10" a="1"/>
  <c r="S124" i="10" s="1"/>
  <c r="V124" i="10" a="1"/>
  <c r="V124" i="10" s="1"/>
  <c r="K124" i="10" a="1"/>
  <c r="K124" i="10" s="1"/>
  <c r="N124" i="10" a="1"/>
  <c r="N124" i="10" s="1"/>
  <c r="Z124" i="10" a="1"/>
  <c r="Z124" i="10" s="1"/>
  <c r="J124" i="10" a="1"/>
  <c r="J124" i="10" s="1"/>
  <c r="R124" i="10" a="1"/>
  <c r="R124" i="10" s="1"/>
  <c r="X124" i="10" a="1"/>
  <c r="X124" i="10" s="1"/>
  <c r="U124" i="10" a="1"/>
  <c r="U124" i="10" s="1"/>
  <c r="Y124" i="10" a="1"/>
  <c r="Y124" i="10" s="1"/>
  <c r="P124" i="10" a="1"/>
  <c r="P124" i="10" s="1"/>
  <c r="M124" i="10" a="1"/>
  <c r="M124" i="10" s="1"/>
  <c r="Q124" i="10" a="1"/>
  <c r="Q124" i="10" s="1"/>
  <c r="S129" i="10" a="1"/>
  <c r="S129" i="10" s="1"/>
  <c r="O129" i="10" a="1"/>
  <c r="O129" i="10" s="1"/>
  <c r="K129" i="10" a="1"/>
  <c r="K129" i="10" s="1"/>
  <c r="V129" i="10" a="1"/>
  <c r="V129" i="10" s="1"/>
  <c r="Z129" i="10" a="1"/>
  <c r="Z129" i="10" s="1"/>
  <c r="N129" i="10" a="1"/>
  <c r="N129" i="10" s="1"/>
  <c r="R129" i="10" a="1"/>
  <c r="R129" i="10" s="1"/>
  <c r="X129" i="10" a="1"/>
  <c r="X129" i="10" s="1"/>
  <c r="U129" i="10" a="1"/>
  <c r="U129" i="10" s="1"/>
  <c r="Y129" i="10" a="1"/>
  <c r="Y129" i="10" s="1"/>
  <c r="P129" i="10" a="1"/>
  <c r="P129" i="10" s="1"/>
  <c r="M129" i="10" a="1"/>
  <c r="M129" i="10" s="1"/>
  <c r="Q129" i="10" a="1"/>
  <c r="Q129" i="10" s="1"/>
  <c r="T129" i="10" a="1"/>
  <c r="T129" i="10" s="1"/>
  <c r="J129" i="10" a="1"/>
  <c r="J129" i="10" s="1"/>
  <c r="L129" i="10" a="1"/>
  <c r="L129" i="10" s="1"/>
  <c r="W129" i="10" a="1"/>
  <c r="W129" i="10" s="1"/>
  <c r="X132" i="10" a="1"/>
  <c r="X132" i="10" s="1"/>
  <c r="R132" i="10" a="1"/>
  <c r="R132" i="10" s="1"/>
  <c r="W126" i="10" a="1"/>
  <c r="W126" i="10" s="1"/>
  <c r="L126" i="10" a="1"/>
  <c r="L126" i="10" s="1"/>
  <c r="N134" i="10" a="1"/>
  <c r="N134" i="10" s="1"/>
  <c r="K134" i="10" a="1"/>
  <c r="K134" i="10" s="1"/>
  <c r="N123" i="10" a="1"/>
  <c r="N123" i="10" s="1"/>
  <c r="Z123" i="10" a="1"/>
  <c r="Z123" i="10" s="1"/>
  <c r="Y130" i="10" a="1"/>
  <c r="Y130" i="10" s="1"/>
  <c r="U122" i="10" a="1"/>
  <c r="U122" i="10" s="1"/>
  <c r="Y122" i="10" a="1"/>
  <c r="Y122" i="10" s="1"/>
  <c r="P122" i="10" a="1"/>
  <c r="P122" i="10" s="1"/>
  <c r="M122" i="10" a="1"/>
  <c r="M122" i="10" s="1"/>
  <c r="Q122" i="10" a="1"/>
  <c r="Q122" i="10" s="1"/>
  <c r="T122" i="10" a="1"/>
  <c r="T122" i="10" s="1"/>
  <c r="W122" i="10" a="1"/>
  <c r="W122" i="10" s="1"/>
  <c r="L122" i="10" a="1"/>
  <c r="L122" i="10" s="1"/>
  <c r="O122" i="10" a="1"/>
  <c r="O122" i="10" s="1"/>
  <c r="S122" i="10" a="1"/>
  <c r="S122" i="10" s="1"/>
  <c r="V122" i="10" a="1"/>
  <c r="V122" i="10" s="1"/>
  <c r="K122" i="10" a="1"/>
  <c r="K122" i="10" s="1"/>
  <c r="N122" i="10" a="1"/>
  <c r="N122" i="10" s="1"/>
  <c r="Z122" i="10" a="1"/>
  <c r="Z122" i="10" s="1"/>
  <c r="J122" i="10" a="1"/>
  <c r="J122" i="10" s="1"/>
  <c r="R122" i="10" a="1"/>
  <c r="R122" i="10" s="1"/>
  <c r="X122" i="10" a="1"/>
  <c r="X122" i="10" s="1"/>
  <c r="K125" i="10" a="1"/>
  <c r="K125" i="10" s="1"/>
  <c r="N125" i="10" a="1"/>
  <c r="N125" i="10" s="1"/>
  <c r="Z125" i="10" a="1"/>
  <c r="Z125" i="10" s="1"/>
  <c r="X125" i="10" a="1"/>
  <c r="X125" i="10" s="1"/>
  <c r="U125" i="10" a="1"/>
  <c r="U125" i="10" s="1"/>
  <c r="R125" i="10" a="1"/>
  <c r="R125" i="10" s="1"/>
  <c r="P125" i="10" a="1"/>
  <c r="P125" i="10" s="1"/>
  <c r="M125" i="10" a="1"/>
  <c r="M125" i="10" s="1"/>
  <c r="Y125" i="10" a="1"/>
  <c r="Y125" i="10" s="1"/>
  <c r="J125" i="10" a="1"/>
  <c r="J125" i="10" s="1"/>
  <c r="Q125" i="10" a="1"/>
  <c r="Q125" i="10" s="1"/>
  <c r="T125" i="10" a="1"/>
  <c r="T125" i="10" s="1"/>
  <c r="W125" i="10" a="1"/>
  <c r="W125" i="10" s="1"/>
  <c r="L125" i="10" a="1"/>
  <c r="L125" i="10" s="1"/>
  <c r="O125" i="10" a="1"/>
  <c r="O125" i="10" s="1"/>
  <c r="S125" i="10" a="1"/>
  <c r="S125" i="10" s="1"/>
  <c r="V125" i="10" a="1"/>
  <c r="V125" i="10" s="1"/>
  <c r="U128" i="10" a="1"/>
  <c r="U128" i="10" s="1"/>
  <c r="J128" i="10" a="1"/>
  <c r="J128" i="10" s="1"/>
  <c r="P128" i="10" a="1"/>
  <c r="P128" i="10" s="1"/>
  <c r="M128" i="10" a="1"/>
  <c r="M128" i="10" s="1"/>
  <c r="Y128" i="10" a="1"/>
  <c r="Y128" i="10" s="1"/>
  <c r="T128" i="10" a="1"/>
  <c r="T128" i="10" s="1"/>
  <c r="Q128" i="10" a="1"/>
  <c r="Q128" i="10" s="1"/>
  <c r="L128" i="10" a="1"/>
  <c r="L128" i="10" s="1"/>
  <c r="W128" i="10" a="1"/>
  <c r="W128" i="10" s="1"/>
  <c r="S128" i="10" a="1"/>
  <c r="S128" i="10" s="1"/>
  <c r="O128" i="10" a="1"/>
  <c r="O128" i="10" s="1"/>
  <c r="K128" i="10" a="1"/>
  <c r="K128" i="10" s="1"/>
  <c r="V128" i="10" a="1"/>
  <c r="V128" i="10" s="1"/>
  <c r="Z128" i="10" a="1"/>
  <c r="Z128" i="10" s="1"/>
  <c r="N128" i="10" a="1"/>
  <c r="N128" i="10" s="1"/>
  <c r="R128" i="10" a="1"/>
  <c r="R128" i="10" s="1"/>
  <c r="X128" i="10" a="1"/>
  <c r="X128" i="10" s="1"/>
  <c r="J132" i="10" a="1"/>
  <c r="J132" i="10" s="1"/>
  <c r="Z132" i="10" a="1"/>
  <c r="Z132" i="10" s="1"/>
  <c r="Q126" i="10" a="1"/>
  <c r="Q126" i="10" s="1"/>
  <c r="T126" i="10" a="1"/>
  <c r="T126" i="10" s="1"/>
  <c r="V134" i="10" a="1"/>
  <c r="V134" i="10" s="1"/>
  <c r="S134" i="10" a="1"/>
  <c r="S134" i="10" s="1"/>
  <c r="V123" i="10" a="1"/>
  <c r="V123" i="10" s="1"/>
  <c r="K123" i="10" a="1"/>
  <c r="K123" i="10" s="1"/>
  <c r="R130" i="10" a="1"/>
  <c r="R130" i="10" s="1"/>
  <c r="N132" i="10" a="1"/>
  <c r="N132" i="10" s="1"/>
  <c r="K132" i="10" a="1"/>
  <c r="K132" i="10" s="1"/>
  <c r="Y126" i="10" a="1"/>
  <c r="Y126" i="10" s="1"/>
  <c r="M126" i="10" a="1"/>
  <c r="M126" i="10" s="1"/>
  <c r="O134" i="10" a="1"/>
  <c r="O134" i="10" s="1"/>
  <c r="J134" i="10" a="1"/>
  <c r="J134" i="10" s="1"/>
  <c r="J123" i="10" a="1"/>
  <c r="J123" i="10" s="1"/>
  <c r="S123" i="10" a="1"/>
  <c r="S123" i="10" s="1"/>
  <c r="P130" i="10" a="1"/>
  <c r="P130" i="10" s="1"/>
  <c r="Z130" i="10" a="1"/>
  <c r="Z130" i="10" s="1"/>
  <c r="J135" i="10" a="1"/>
  <c r="J135" i="10" s="1"/>
  <c r="N135" i="10" a="1"/>
  <c r="N135" i="10" s="1"/>
  <c r="Z135" i="10" a="1"/>
  <c r="Z135" i="10" s="1"/>
  <c r="X135" i="10" a="1"/>
  <c r="X135" i="10" s="1"/>
  <c r="U135" i="10" a="1"/>
  <c r="U135" i="10" s="1"/>
  <c r="R135" i="10" a="1"/>
  <c r="R135" i="10" s="1"/>
  <c r="P135" i="10" a="1"/>
  <c r="P135" i="10" s="1"/>
  <c r="M135" i="10" a="1"/>
  <c r="M135" i="10" s="1"/>
  <c r="Y135" i="10" a="1"/>
  <c r="Y135" i="10" s="1"/>
  <c r="T135" i="10" a="1"/>
  <c r="T135" i="10" s="1"/>
  <c r="Q135" i="10" a="1"/>
  <c r="Q135" i="10" s="1"/>
  <c r="L135" i="10" a="1"/>
  <c r="L135" i="10" s="1"/>
  <c r="W135" i="10" a="1"/>
  <c r="W135" i="10" s="1"/>
  <c r="S135" i="10" a="1"/>
  <c r="S135" i="10" s="1"/>
  <c r="O135" i="10" a="1"/>
  <c r="O135" i="10" s="1"/>
  <c r="K135" i="10" a="1"/>
  <c r="K135" i="10" s="1"/>
  <c r="V135" i="10" a="1"/>
  <c r="V135" i="10" s="1"/>
  <c r="V132" i="10" a="1"/>
  <c r="V132" i="10" s="1"/>
  <c r="S132" i="10" a="1"/>
  <c r="S132" i="10" s="1"/>
  <c r="P126" i="10" a="1"/>
  <c r="P126" i="10" s="1"/>
  <c r="R126" i="10" a="1"/>
  <c r="R126" i="10" s="1"/>
  <c r="U126" i="10" a="1"/>
  <c r="U126" i="10" s="1"/>
  <c r="W134" i="10" a="1"/>
  <c r="W134" i="10" s="1"/>
  <c r="L134" i="10" a="1"/>
  <c r="L134" i="10" s="1"/>
  <c r="O123" i="10" a="1"/>
  <c r="O123" i="10" s="1"/>
  <c r="L123" i="10" a="1"/>
  <c r="L123" i="10" s="1"/>
  <c r="X130" i="10" a="1"/>
  <c r="X130" i="10" s="1"/>
  <c r="S130" i="10" a="1"/>
  <c r="S130" i="10" s="1"/>
  <c r="T127" i="10" a="1"/>
  <c r="T127" i="10" s="1"/>
  <c r="Q127" i="10" a="1"/>
  <c r="Q127" i="10" s="1"/>
  <c r="L127" i="10" a="1"/>
  <c r="L127" i="10" s="1"/>
  <c r="W127" i="10" a="1"/>
  <c r="W127" i="10" s="1"/>
  <c r="S127" i="10" a="1"/>
  <c r="S127" i="10" s="1"/>
  <c r="O127" i="10" a="1"/>
  <c r="O127" i="10" s="1"/>
  <c r="K127" i="10" a="1"/>
  <c r="K127" i="10" s="1"/>
  <c r="V127" i="10" a="1"/>
  <c r="V127" i="10" s="1"/>
  <c r="J127" i="10" a="1"/>
  <c r="J127" i="10" s="1"/>
  <c r="N127" i="10" a="1"/>
  <c r="N127" i="10" s="1"/>
  <c r="Z127" i="10" a="1"/>
  <c r="Z127" i="10" s="1"/>
  <c r="X127" i="10" a="1"/>
  <c r="X127" i="10" s="1"/>
  <c r="U127" i="10" a="1"/>
  <c r="U127" i="10" s="1"/>
  <c r="R127" i="10" a="1"/>
  <c r="R127" i="10" s="1"/>
  <c r="P127" i="10" a="1"/>
  <c r="P127" i="10" s="1"/>
  <c r="M127" i="10" a="1"/>
  <c r="M127" i="10" s="1"/>
  <c r="Y127" i="10" a="1"/>
  <c r="Y127" i="10" s="1"/>
  <c r="Z120" i="10" a="1"/>
  <c r="Z120" i="10" s="1"/>
  <c r="N120" i="10" a="1"/>
  <c r="N120" i="10" s="1"/>
  <c r="R120" i="10" a="1"/>
  <c r="R120" i="10" s="1"/>
  <c r="X120" i="10" a="1"/>
  <c r="X120" i="10" s="1"/>
  <c r="U120" i="10" a="1"/>
  <c r="U120" i="10" s="1"/>
  <c r="J120" i="10" a="1"/>
  <c r="J120" i="10" s="1"/>
  <c r="P120" i="10" a="1"/>
  <c r="P120" i="10" s="1"/>
  <c r="M120" i="10" a="1"/>
  <c r="M120" i="10" s="1"/>
  <c r="Y120" i="10" a="1"/>
  <c r="Y120" i="10" s="1"/>
  <c r="T120" i="10" a="1"/>
  <c r="T120" i="10" s="1"/>
  <c r="Q120" i="10" a="1"/>
  <c r="Q120" i="10" s="1"/>
  <c r="L120" i="10" a="1"/>
  <c r="L120" i="10" s="1"/>
  <c r="W120" i="10" a="1"/>
  <c r="W120" i="10" s="1"/>
  <c r="S120" i="10" a="1"/>
  <c r="S120" i="10" s="1"/>
  <c r="O120" i="10" a="1"/>
  <c r="O120" i="10" s="1"/>
  <c r="K120" i="10" a="1"/>
  <c r="K120" i="10" s="1"/>
  <c r="V120" i="10" a="1"/>
  <c r="V120" i="10" s="1"/>
  <c r="L133" i="10" a="1"/>
  <c r="L133" i="10" s="1"/>
  <c r="O133" i="10" a="1"/>
  <c r="O133" i="10" s="1"/>
  <c r="S133" i="10" a="1"/>
  <c r="S133" i="10" s="1"/>
  <c r="V133" i="10" a="1"/>
  <c r="V133" i="10" s="1"/>
  <c r="K133" i="10" a="1"/>
  <c r="K133" i="10" s="1"/>
  <c r="N133" i="10" a="1"/>
  <c r="N133" i="10" s="1"/>
  <c r="Z133" i="10" a="1"/>
  <c r="Z133" i="10" s="1"/>
  <c r="X133" i="10" a="1"/>
  <c r="X133" i="10" s="1"/>
  <c r="U133" i="10" a="1"/>
  <c r="U133" i="10" s="1"/>
  <c r="R133" i="10" a="1"/>
  <c r="R133" i="10" s="1"/>
  <c r="P133" i="10" a="1"/>
  <c r="P133" i="10" s="1"/>
  <c r="M133" i="10" a="1"/>
  <c r="M133" i="10" s="1"/>
  <c r="Y133" i="10" a="1"/>
  <c r="Y133" i="10" s="1"/>
  <c r="J133" i="10" a="1"/>
  <c r="J133" i="10" s="1"/>
  <c r="Q133" i="10" a="1"/>
  <c r="Q133" i="10" s="1"/>
  <c r="T133" i="10" a="1"/>
  <c r="T133" i="10" s="1"/>
  <c r="W133" i="10" a="1"/>
  <c r="W133" i="10" s="1"/>
  <c r="O132" i="10" a="1"/>
  <c r="O132" i="10" s="1"/>
  <c r="L132" i="10" a="1"/>
  <c r="L132" i="10" s="1"/>
  <c r="X126" i="10" a="1"/>
  <c r="X126" i="10" s="1"/>
  <c r="Z126" i="10" a="1"/>
  <c r="Z126" i="10" s="1"/>
  <c r="Q134" i="10" a="1"/>
  <c r="Q134" i="10" s="1"/>
  <c r="T134" i="10" a="1"/>
  <c r="T134" i="10" s="1"/>
  <c r="W123" i="10" a="1"/>
  <c r="W123" i="10" s="1"/>
  <c r="T123" i="10" a="1"/>
  <c r="T123" i="10" s="1"/>
  <c r="J130" i="10" a="1"/>
  <c r="J130" i="10" s="1"/>
  <c r="L130" i="10" a="1"/>
  <c r="L130" i="10" s="1"/>
  <c r="W132" i="10" a="1"/>
  <c r="W132" i="10" s="1"/>
  <c r="T132" i="10" a="1"/>
  <c r="T132" i="10" s="1"/>
  <c r="N126" i="10" a="1"/>
  <c r="N126" i="10" s="1"/>
  <c r="K126" i="10" a="1"/>
  <c r="K126" i="10" s="1"/>
  <c r="Y134" i="10" a="1"/>
  <c r="Y134" i="10" s="1"/>
  <c r="M134" i="10" a="1"/>
  <c r="M134" i="10" s="1"/>
  <c r="Q123" i="10" a="1"/>
  <c r="Q123" i="10" s="1"/>
  <c r="M123" i="10" a="1"/>
  <c r="M123" i="10" s="1"/>
  <c r="V130" i="10" a="1"/>
  <c r="V130" i="10" s="1"/>
  <c r="T130" i="10" a="1"/>
  <c r="T130" i="10" s="1"/>
  <c r="T121" i="10" a="1"/>
  <c r="T121" i="10" s="1"/>
  <c r="J121" i="10" a="1"/>
  <c r="J121" i="10" s="1"/>
  <c r="L121" i="10" a="1"/>
  <c r="L121" i="10" s="1"/>
  <c r="W121" i="10" a="1"/>
  <c r="W121" i="10" s="1"/>
  <c r="S121" i="10" a="1"/>
  <c r="S121" i="10" s="1"/>
  <c r="O121" i="10" a="1"/>
  <c r="O121" i="10" s="1"/>
  <c r="K121" i="10" a="1"/>
  <c r="K121" i="10" s="1"/>
  <c r="V121" i="10" a="1"/>
  <c r="V121" i="10" s="1"/>
  <c r="Z121" i="10" a="1"/>
  <c r="Z121" i="10" s="1"/>
  <c r="N121" i="10" a="1"/>
  <c r="N121" i="10" s="1"/>
  <c r="R121" i="10" a="1"/>
  <c r="R121" i="10" s="1"/>
  <c r="X121" i="10" a="1"/>
  <c r="X121" i="10" s="1"/>
  <c r="U121" i="10" a="1"/>
  <c r="U121" i="10" s="1"/>
  <c r="Y121" i="10" a="1"/>
  <c r="Y121" i="10" s="1"/>
  <c r="P121" i="10" a="1"/>
  <c r="P121" i="10" s="1"/>
  <c r="M121" i="10" a="1"/>
  <c r="M121" i="10" s="1"/>
  <c r="Q121" i="10" a="1"/>
  <c r="Q121" i="10" s="1"/>
  <c r="Q132" i="10" a="1"/>
  <c r="Q132" i="10" s="1"/>
  <c r="M132" i="10" a="1"/>
  <c r="M132" i="10" s="1"/>
  <c r="V126" i="10" a="1"/>
  <c r="V126" i="10" s="1"/>
  <c r="S126" i="10" a="1"/>
  <c r="S126" i="10" s="1"/>
  <c r="P134" i="10" a="1"/>
  <c r="P134" i="10" s="1"/>
  <c r="R134" i="10" a="1"/>
  <c r="R134" i="10" s="1"/>
  <c r="U134" i="10" a="1"/>
  <c r="U134" i="10" s="1"/>
  <c r="P123" i="10" a="1"/>
  <c r="P123" i="10" s="1"/>
  <c r="Y123" i="10" a="1"/>
  <c r="Y123" i="10" s="1"/>
  <c r="U123" i="10" a="1"/>
  <c r="U123" i="10" s="1"/>
  <c r="O130" i="10" a="1"/>
  <c r="O130" i="10" s="1"/>
  <c r="K130" i="10" a="1"/>
  <c r="K130" i="10" s="1"/>
  <c r="N130" i="10" a="1"/>
  <c r="N130" i="10" s="1"/>
  <c r="M130" i="10" a="1"/>
  <c r="M130" i="10" s="1"/>
  <c r="Q130" i="10" a="1"/>
  <c r="Q130" i="10" s="1"/>
  <c r="P132" i="10" a="1"/>
  <c r="P132" i="10" s="1"/>
  <c r="O126" i="10" a="1"/>
  <c r="O126" i="10" s="1"/>
  <c r="X134" i="10" a="1"/>
  <c r="X134" i="10" s="1"/>
  <c r="X123" i="10" a="1"/>
  <c r="X123" i="10" s="1"/>
  <c r="W130" i="10" a="1"/>
  <c r="W130" i="10" s="1"/>
  <c r="B45" i="8" a="1"/>
  <c r="B45" i="8" s="1"/>
  <c r="E45" i="8"/>
  <c r="Z45" i="8" s="1" a="1"/>
  <c r="Z45" i="8" s="1"/>
  <c r="E46" i="8"/>
  <c r="Q46" i="8" s="1" a="1"/>
  <c r="Q46" i="8" s="1"/>
  <c r="E47" i="8"/>
  <c r="V47" i="8" s="1" a="1"/>
  <c r="V47" i="8" s="1"/>
  <c r="E48" i="8"/>
  <c r="T48" i="8" s="1" a="1"/>
  <c r="T48" i="8" s="1"/>
  <c r="E49" i="8"/>
  <c r="U49" i="8" s="1" a="1"/>
  <c r="U49" i="8" s="1"/>
  <c r="E50" i="8"/>
  <c r="M50" i="8" s="1" a="1"/>
  <c r="M50" i="8" s="1"/>
  <c r="E51" i="8"/>
  <c r="Y51" i="8" s="1" a="1"/>
  <c r="Y51" i="8" s="1"/>
  <c r="E52" i="8"/>
  <c r="T52" i="8" s="1" a="1"/>
  <c r="T52" i="8" s="1"/>
  <c r="E53" i="8"/>
  <c r="Z53" i="8" s="1" a="1"/>
  <c r="Z53" i="8" s="1"/>
  <c r="E54" i="8"/>
  <c r="Y54" i="8" s="1" a="1"/>
  <c r="Y54" i="8" s="1"/>
  <c r="E55" i="8"/>
  <c r="O55" i="8" s="1" a="1"/>
  <c r="O55" i="8" s="1"/>
  <c r="E56" i="8"/>
  <c r="K56" i="8" s="1" a="1"/>
  <c r="K56" i="8" s="1"/>
  <c r="E57" i="8"/>
  <c r="T57" i="8" s="1" a="1"/>
  <c r="T57" i="8" s="1"/>
  <c r="E58" i="8"/>
  <c r="O58" i="8" s="1" a="1"/>
  <c r="O58" i="8" s="1"/>
  <c r="E59" i="8"/>
  <c r="S59" i="8" s="1" a="1"/>
  <c r="S59" i="8" s="1"/>
  <c r="E60" i="8"/>
  <c r="T60" i="8" s="1" a="1"/>
  <c r="T60" i="8" s="1"/>
  <c r="E61" i="8"/>
  <c r="AA61" i="8" s="1" a="1"/>
  <c r="AA61" i="8" s="1"/>
  <c r="E62" i="8"/>
  <c r="V62" i="8" s="1" a="1"/>
  <c r="V62" i="8" s="1"/>
  <c r="E63" i="8"/>
  <c r="V63" i="8" s="1" a="1"/>
  <c r="V63" i="8" s="1"/>
  <c r="E64" i="8"/>
  <c r="Q64" i="8" s="1" a="1"/>
  <c r="Q64" i="8" s="1"/>
  <c r="E65" i="8"/>
  <c r="W65" i="8" s="1" a="1"/>
  <c r="W65" i="8" s="1"/>
  <c r="E66" i="8"/>
  <c r="V66" i="8" s="1" a="1"/>
  <c r="V66" i="8" s="1"/>
  <c r="E67" i="8"/>
  <c r="S67" i="8" s="1" a="1"/>
  <c r="S67" i="8" s="1"/>
  <c r="E68" i="8"/>
  <c r="N68" i="8" s="1" a="1"/>
  <c r="N68" i="8" s="1"/>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W64" i="8" l="1" a="1"/>
  <c r="W64" i="8" s="1"/>
  <c r="R64" i="8" a="1"/>
  <c r="R64" i="8" s="1"/>
  <c r="X64" i="8" a="1"/>
  <c r="X64" i="8" s="1"/>
  <c r="R47" i="8" a="1"/>
  <c r="R47" i="8" s="1"/>
  <c r="P47" i="8" a="1"/>
  <c r="P47" i="8" s="1"/>
  <c r="X59" i="8" a="1"/>
  <c r="X59" i="8" s="1"/>
  <c r="AA59" i="8" a="1"/>
  <c r="AA59" i="8" s="1"/>
  <c r="K46" i="8" a="1"/>
  <c r="K46" i="8" s="1"/>
  <c r="X46" i="8" a="1"/>
  <c r="X46" i="8" s="1"/>
  <c r="R52" i="8" a="1"/>
  <c r="R52" i="8" s="1"/>
  <c r="P52" i="8" a="1"/>
  <c r="P52" i="8" s="1"/>
  <c r="M58" i="8" a="1"/>
  <c r="M58" i="8" s="1"/>
  <c r="Z58" i="8" a="1"/>
  <c r="Z58" i="8" s="1"/>
  <c r="V58" i="8" a="1"/>
  <c r="V58" i="8" s="1"/>
  <c r="Q49" i="8" a="1"/>
  <c r="Q49" i="8" s="1"/>
  <c r="N49" i="8" a="1"/>
  <c r="N49" i="8" s="1"/>
  <c r="T56" i="8" a="1"/>
  <c r="T56" i="8" s="1"/>
  <c r="P56" i="8" a="1"/>
  <c r="P56" i="8" s="1"/>
  <c r="Q57" i="8" a="1"/>
  <c r="Q57" i="8" s="1"/>
  <c r="N57" i="8" a="1"/>
  <c r="N57" i="8" s="1"/>
  <c r="Q48" i="8" a="1"/>
  <c r="Q48" i="8" s="1"/>
  <c r="N48" i="8" a="1"/>
  <c r="N48" i="8" s="1"/>
  <c r="S63" i="8" a="1"/>
  <c r="S63" i="8" s="1"/>
  <c r="O63" i="8" a="1"/>
  <c r="O63" i="8" s="1"/>
  <c r="Y61" i="8" a="1"/>
  <c r="Y61" i="8" s="1"/>
  <c r="O61" i="8" a="1"/>
  <c r="O61" i="8" s="1"/>
  <c r="AA54" i="8" a="1"/>
  <c r="AA54" i="8" s="1"/>
  <c r="R54" i="8" a="1"/>
  <c r="R54" i="8" s="1"/>
  <c r="K60" i="8" a="1"/>
  <c r="K60" i="8" s="1"/>
  <c r="AA60" i="8" a="1"/>
  <c r="AA60" i="8" s="1"/>
  <c r="V51" i="8" a="1"/>
  <c r="V51" i="8" s="1"/>
  <c r="S51" i="8" a="1"/>
  <c r="S51" i="8" s="1"/>
  <c r="X67" i="8" a="1"/>
  <c r="X67" i="8" s="1"/>
  <c r="AA67" i="8" a="1"/>
  <c r="AA67" i="8" s="1"/>
  <c r="L55" i="8" a="1"/>
  <c r="L55" i="8" s="1"/>
  <c r="W55" i="8" a="1"/>
  <c r="W55" i="8" s="1"/>
  <c r="U65" i="8" a="1"/>
  <c r="U65" i="8" s="1"/>
  <c r="S65" i="8" a="1"/>
  <c r="S65" i="8" s="1"/>
  <c r="W68" i="8" a="1"/>
  <c r="W68" i="8" s="1"/>
  <c r="R68" i="8" a="1"/>
  <c r="R68" i="8" s="1"/>
  <c r="U68" i="8" a="1"/>
  <c r="U68" i="8" s="1"/>
  <c r="N53" i="8" a="1"/>
  <c r="N53" i="8" s="1"/>
  <c r="S53" i="8" a="1"/>
  <c r="S53" i="8" s="1"/>
  <c r="P50" i="8" a="1"/>
  <c r="P50" i="8" s="1"/>
  <c r="AA50" i="8" a="1"/>
  <c r="AA50" i="8" s="1"/>
  <c r="M62" i="8" a="1"/>
  <c r="M62" i="8" s="1"/>
  <c r="W62" i="8" a="1"/>
  <c r="W62" i="8" s="1"/>
  <c r="X45" i="8" a="1"/>
  <c r="X45" i="8" s="1"/>
  <c r="T45" i="8" a="1"/>
  <c r="T45" i="8" s="1"/>
  <c r="T66" i="8" a="1"/>
  <c r="T66" i="8" s="1"/>
  <c r="K66" i="8" a="1"/>
  <c r="K66" i="8" s="1"/>
  <c r="Y64" i="8" a="1"/>
  <c r="Y64" i="8" s="1"/>
  <c r="N64" i="8" a="1"/>
  <c r="N64" i="8" s="1"/>
  <c r="K47" i="8" a="1"/>
  <c r="K47" i="8" s="1"/>
  <c r="Z47" i="8" a="1"/>
  <c r="Z47" i="8" s="1"/>
  <c r="W47" i="8" a="1"/>
  <c r="W47" i="8" s="1"/>
  <c r="Q59" i="8" a="1"/>
  <c r="Q59" i="8" s="1"/>
  <c r="M59" i="8" a="1"/>
  <c r="M59" i="8" s="1"/>
  <c r="N46" i="8" a="1"/>
  <c r="N46" i="8" s="1"/>
  <c r="R46" i="8" a="1"/>
  <c r="R46" i="8" s="1"/>
  <c r="U52" i="8" a="1"/>
  <c r="U52" i="8" s="1"/>
  <c r="X52" i="8" a="1"/>
  <c r="X52" i="8" s="1"/>
  <c r="T58" i="8" a="1"/>
  <c r="T58" i="8" s="1"/>
  <c r="K58" i="8" a="1"/>
  <c r="K58" i="8" s="1"/>
  <c r="T49" i="8" a="1"/>
  <c r="T49" i="8" s="1"/>
  <c r="Y49" i="8" a="1"/>
  <c r="Y49" i="8" s="1"/>
  <c r="V49" i="8" a="1"/>
  <c r="V49" i="8" s="1"/>
  <c r="AA56" i="8" a="1"/>
  <c r="AA56" i="8" s="1"/>
  <c r="Q56" i="8" a="1"/>
  <c r="Q56" i="8" s="1"/>
  <c r="Y57" i="8" a="1"/>
  <c r="Y57" i="8" s="1"/>
  <c r="V57" i="8" a="1"/>
  <c r="V57" i="8" s="1"/>
  <c r="Y48" i="8" a="1"/>
  <c r="Y48" i="8" s="1"/>
  <c r="V48" i="8" a="1"/>
  <c r="V48" i="8" s="1"/>
  <c r="L63" i="8" a="1"/>
  <c r="L63" i="8" s="1"/>
  <c r="W63" i="8" a="1"/>
  <c r="W63" i="8" s="1"/>
  <c r="L61" i="8" a="1"/>
  <c r="L61" i="8" s="1"/>
  <c r="W61" i="8" a="1"/>
  <c r="W61" i="8" s="1"/>
  <c r="P54" i="8" a="1"/>
  <c r="P54" i="8" s="1"/>
  <c r="N54" i="8" a="1"/>
  <c r="N54" i="8" s="1"/>
  <c r="Z54" i="8" a="1"/>
  <c r="Z54" i="8" s="1"/>
  <c r="P60" i="8" a="1"/>
  <c r="P60" i="8" s="1"/>
  <c r="N60" i="8" a="1"/>
  <c r="N60" i="8" s="1"/>
  <c r="O51" i="8" a="1"/>
  <c r="O51" i="8" s="1"/>
  <c r="AA51" i="8" a="1"/>
  <c r="AA51" i="8" s="1"/>
  <c r="O67" i="8" a="1"/>
  <c r="O67" i="8" s="1"/>
  <c r="M67" i="8" a="1"/>
  <c r="M67" i="8" s="1"/>
  <c r="T55" i="8" a="1"/>
  <c r="T55" i="8" s="1"/>
  <c r="Q55" i="8" a="1"/>
  <c r="Q55" i="8" s="1"/>
  <c r="K65" i="8" a="1"/>
  <c r="K65" i="8" s="1"/>
  <c r="AA65" i="8" a="1"/>
  <c r="AA65" i="8" s="1"/>
  <c r="K68" i="8" a="1"/>
  <c r="K68" i="8" s="1"/>
  <c r="Z68" i="8" a="1"/>
  <c r="Z68" i="8" s="1"/>
  <c r="Y53" i="8" a="1"/>
  <c r="Y53" i="8" s="1"/>
  <c r="V53" i="8" a="1"/>
  <c r="V53" i="8" s="1"/>
  <c r="AA53" i="8" a="1"/>
  <c r="AA53" i="8" s="1"/>
  <c r="W50" i="8" a="1"/>
  <c r="W50" i="8" s="1"/>
  <c r="N50" i="8" a="1"/>
  <c r="N50" i="8" s="1"/>
  <c r="T62" i="8" a="1"/>
  <c r="T62" i="8" s="1"/>
  <c r="Q62" i="8" a="1"/>
  <c r="Q62" i="8" s="1"/>
  <c r="L45" i="8" a="1"/>
  <c r="L45" i="8" s="1"/>
  <c r="AA45" i="8" a="1"/>
  <c r="AA45" i="8" s="1"/>
  <c r="P66" i="8" a="1"/>
  <c r="P66" i="8" s="1"/>
  <c r="L66" i="8" a="1"/>
  <c r="L66" i="8" s="1"/>
  <c r="L64" i="8" a="1"/>
  <c r="L64" i="8" s="1"/>
  <c r="U64" i="8" a="1"/>
  <c r="U64" i="8" s="1"/>
  <c r="N47" i="8" a="1"/>
  <c r="N47" i="8" s="1"/>
  <c r="M47" i="8" a="1"/>
  <c r="M47" i="8" s="1"/>
  <c r="Y59" i="8" a="1"/>
  <c r="Y59" i="8" s="1"/>
  <c r="U59" i="8" a="1"/>
  <c r="U59" i="8" s="1"/>
  <c r="U46" i="8" a="1"/>
  <c r="U46" i="8" s="1"/>
  <c r="Y46" i="8" a="1"/>
  <c r="Y46" i="8" s="1"/>
  <c r="Z52" i="8" a="1"/>
  <c r="Z52" i="8" s="1"/>
  <c r="Q52" i="8" a="1"/>
  <c r="Q52" i="8" s="1"/>
  <c r="P58" i="8" a="1"/>
  <c r="P58" i="8" s="1"/>
  <c r="L58" i="8" a="1"/>
  <c r="L58" i="8" s="1"/>
  <c r="K49" i="8" a="1"/>
  <c r="K49" i="8" s="1"/>
  <c r="R49" i="8" a="1"/>
  <c r="R49" i="8" s="1"/>
  <c r="W56" i="8" a="1"/>
  <c r="W56" i="8" s="1"/>
  <c r="Y56" i="8" a="1"/>
  <c r="Y56" i="8" s="1"/>
  <c r="X56" i="8" a="1"/>
  <c r="X56" i="8" s="1"/>
  <c r="R57" i="8" a="1"/>
  <c r="R57" i="8" s="1"/>
  <c r="O57" i="8" a="1"/>
  <c r="O57" i="8" s="1"/>
  <c r="R48" i="8" a="1"/>
  <c r="R48" i="8" s="1"/>
  <c r="K48" i="8" a="1"/>
  <c r="K48" i="8" s="1"/>
  <c r="T63" i="8" a="1"/>
  <c r="T63" i="8" s="1"/>
  <c r="Q63" i="8" a="1"/>
  <c r="Q63" i="8" s="1"/>
  <c r="K61" i="8" a="1"/>
  <c r="K61" i="8" s="1"/>
  <c r="P61" i="8" a="1"/>
  <c r="P61" i="8" s="1"/>
  <c r="X54" i="8" a="1"/>
  <c r="X54" i="8" s="1"/>
  <c r="U54" i="8" a="1"/>
  <c r="U54" i="8" s="1"/>
  <c r="L60" i="8" a="1"/>
  <c r="L60" i="8" s="1"/>
  <c r="Q60" i="8" a="1"/>
  <c r="Q60" i="8" s="1"/>
  <c r="U60" i="8" a="1"/>
  <c r="U60" i="8" s="1"/>
  <c r="W51" i="8" a="1"/>
  <c r="W51" i="8" s="1"/>
  <c r="L51" i="8" a="1"/>
  <c r="L51" i="8" s="1"/>
  <c r="Q67" i="8" a="1"/>
  <c r="Q67" i="8" s="1"/>
  <c r="U67" i="8" a="1"/>
  <c r="U67" i="8" s="1"/>
  <c r="M55" i="8" a="1"/>
  <c r="M55" i="8" s="1"/>
  <c r="Y55" i="8" a="1"/>
  <c r="Y55" i="8" s="1"/>
  <c r="X65" i="8" a="1"/>
  <c r="X65" i="8" s="1"/>
  <c r="L65" i="8" a="1"/>
  <c r="L65" i="8" s="1"/>
  <c r="P68" i="8" a="1"/>
  <c r="P68" i="8" s="1"/>
  <c r="S68" i="8" a="1"/>
  <c r="S68" i="8" s="1"/>
  <c r="L53" i="8" a="1"/>
  <c r="L53" i="8" s="1"/>
  <c r="O53" i="8" a="1"/>
  <c r="O53" i="8" s="1"/>
  <c r="L50" i="8" a="1"/>
  <c r="L50" i="8" s="1"/>
  <c r="Q50" i="8" a="1"/>
  <c r="Q50" i="8" s="1"/>
  <c r="T50" i="8" a="1"/>
  <c r="T50" i="8" s="1"/>
  <c r="S62" i="8" a="1"/>
  <c r="S62" i="8" s="1"/>
  <c r="Y62" i="8" a="1"/>
  <c r="Y62" i="8" s="1"/>
  <c r="K45" i="8" a="1"/>
  <c r="K45" i="8" s="1"/>
  <c r="O45" i="8" a="1"/>
  <c r="O45" i="8" s="1"/>
  <c r="X66" i="8" a="1"/>
  <c r="X66" i="8" s="1"/>
  <c r="S66" i="8" a="1"/>
  <c r="S66" i="8" s="1"/>
  <c r="S64" i="8" a="1"/>
  <c r="S64" i="8" s="1"/>
  <c r="O64" i="8" a="1"/>
  <c r="O64" i="8" s="1"/>
  <c r="U47" i="8" a="1"/>
  <c r="U47" i="8" s="1"/>
  <c r="S47" i="8" a="1"/>
  <c r="S47" i="8" s="1"/>
  <c r="W59" i="8" a="1"/>
  <c r="W59" i="8" s="1"/>
  <c r="N59" i="8" a="1"/>
  <c r="N59" i="8" s="1"/>
  <c r="O46" i="8" a="1"/>
  <c r="O46" i="8" s="1"/>
  <c r="M46" i="8" a="1"/>
  <c r="M46" i="8" s="1"/>
  <c r="N52" i="8" a="1"/>
  <c r="N52" i="8" s="1"/>
  <c r="Y52" i="8" a="1"/>
  <c r="Y52" i="8" s="1"/>
  <c r="X58" i="8" a="1"/>
  <c r="X58" i="8" s="1"/>
  <c r="S58" i="8" a="1"/>
  <c r="S58" i="8" s="1"/>
  <c r="L49" i="8" a="1"/>
  <c r="L49" i="8" s="1"/>
  <c r="Z49" i="8" a="1"/>
  <c r="Z49" i="8" s="1"/>
  <c r="L56" i="8" a="1"/>
  <c r="L56" i="8" s="1"/>
  <c r="N56" i="8" a="1"/>
  <c r="N56" i="8" s="1"/>
  <c r="U57" i="8" a="1"/>
  <c r="U57" i="8" s="1"/>
  <c r="Z57" i="8" a="1"/>
  <c r="Z57" i="8" s="1"/>
  <c r="W57" i="8" a="1"/>
  <c r="W57" i="8" s="1"/>
  <c r="Z48" i="8" a="1"/>
  <c r="Z48" i="8" s="1"/>
  <c r="O48" i="8" a="1"/>
  <c r="O48" i="8" s="1"/>
  <c r="AA63" i="8" a="1"/>
  <c r="AA63" i="8" s="1"/>
  <c r="Y63" i="8" a="1"/>
  <c r="Y63" i="8" s="1"/>
  <c r="M61" i="8" a="1"/>
  <c r="M61" i="8" s="1"/>
  <c r="X61" i="8" a="1"/>
  <c r="X61" i="8" s="1"/>
  <c r="K54" i="8" a="1"/>
  <c r="K54" i="8" s="1"/>
  <c r="O54" i="8" a="1"/>
  <c r="O54" i="8" s="1"/>
  <c r="S60" i="8" a="1"/>
  <c r="S60" i="8" s="1"/>
  <c r="X60" i="8" a="1"/>
  <c r="X60" i="8" s="1"/>
  <c r="Z51" i="8" a="1"/>
  <c r="Z51" i="8" s="1"/>
  <c r="K51" i="8" a="1"/>
  <c r="K51" i="8" s="1"/>
  <c r="T51" i="8" a="1"/>
  <c r="T51" i="8" s="1"/>
  <c r="Y67" i="8" a="1"/>
  <c r="Y67" i="8" s="1"/>
  <c r="N67" i="8" a="1"/>
  <c r="N67" i="8" s="1"/>
  <c r="U55" i="8" a="1"/>
  <c r="U55" i="8" s="1"/>
  <c r="K55" i="8" a="1"/>
  <c r="K55" i="8" s="1"/>
  <c r="Q65" i="8" a="1"/>
  <c r="Q65" i="8" s="1"/>
  <c r="T65" i="8" a="1"/>
  <c r="T65" i="8" s="1"/>
  <c r="X68" i="8" a="1"/>
  <c r="X68" i="8" s="1"/>
  <c r="AA68" i="8" a="1"/>
  <c r="AA68" i="8" s="1"/>
  <c r="Q53" i="8" a="1"/>
  <c r="Q53" i="8" s="1"/>
  <c r="W53" i="8" a="1"/>
  <c r="W53" i="8" s="1"/>
  <c r="O50" i="8" a="1"/>
  <c r="O50" i="8" s="1"/>
  <c r="X50" i="8" a="1"/>
  <c r="X50" i="8" s="1"/>
  <c r="N62" i="8" a="1"/>
  <c r="N62" i="8" s="1"/>
  <c r="R62" i="8" a="1"/>
  <c r="R62" i="8" s="1"/>
  <c r="R45" i="8" a="1"/>
  <c r="R45" i="8" s="1"/>
  <c r="V45" i="8" a="1"/>
  <c r="V45" i="8" s="1"/>
  <c r="Q66" i="8" a="1"/>
  <c r="Q66" i="8" s="1"/>
  <c r="AA66" i="8" a="1"/>
  <c r="AA66" i="8" s="1"/>
  <c r="Z64" i="8" a="1"/>
  <c r="Z64" i="8" s="1"/>
  <c r="V64" i="8" a="1"/>
  <c r="V64" i="8" s="1"/>
  <c r="Q47" i="8" a="1"/>
  <c r="Q47" i="8" s="1"/>
  <c r="AA47" i="8" a="1"/>
  <c r="AA47" i="8" s="1"/>
  <c r="L59" i="8" a="1"/>
  <c r="L59" i="8" s="1"/>
  <c r="K59" i="8" a="1"/>
  <c r="K59" i="8" s="1"/>
  <c r="V59" i="8" a="1"/>
  <c r="V59" i="8" s="1"/>
  <c r="V46" i="8" a="1"/>
  <c r="V46" i="8" s="1"/>
  <c r="S46" i="8" a="1"/>
  <c r="S46" i="8" s="1"/>
  <c r="V52" i="8" a="1"/>
  <c r="V52" i="8" s="1"/>
  <c r="S52" i="8" a="1"/>
  <c r="S52" i="8" s="1"/>
  <c r="W58" i="8" a="1"/>
  <c r="W58" i="8" s="1"/>
  <c r="AA58" i="8" a="1"/>
  <c r="AA58" i="8" s="1"/>
  <c r="O49" i="8" a="1"/>
  <c r="O49" i="8" s="1"/>
  <c r="S49" i="8" a="1"/>
  <c r="S49" i="8" s="1"/>
  <c r="S56" i="8" a="1"/>
  <c r="S56" i="8" s="1"/>
  <c r="U56" i="8" a="1"/>
  <c r="U56" i="8" s="1"/>
  <c r="K57" i="8" a="1"/>
  <c r="K57" i="8" s="1"/>
  <c r="S57" i="8" a="1"/>
  <c r="S57" i="8" s="1"/>
  <c r="M48" i="8" a="1"/>
  <c r="M48" i="8" s="1"/>
  <c r="S48" i="8" a="1"/>
  <c r="S48" i="8" s="1"/>
  <c r="W48" i="8" a="1"/>
  <c r="W48" i="8" s="1"/>
  <c r="M63" i="8" a="1"/>
  <c r="M63" i="8" s="1"/>
  <c r="K63" i="8" a="1"/>
  <c r="K63" i="8" s="1"/>
  <c r="U61" i="8" a="1"/>
  <c r="U61" i="8" s="1"/>
  <c r="R61" i="8" a="1"/>
  <c r="R61" i="8" s="1"/>
  <c r="S54" i="8" a="1"/>
  <c r="S54" i="8" s="1"/>
  <c r="V54" i="8" a="1"/>
  <c r="V54" i="8" s="1"/>
  <c r="Z60" i="8" a="1"/>
  <c r="Z60" i="8" s="1"/>
  <c r="R60" i="8" a="1"/>
  <c r="R60" i="8" s="1"/>
  <c r="R51" i="8" a="1"/>
  <c r="R51" i="8" s="1"/>
  <c r="P51" i="8" a="1"/>
  <c r="P51" i="8" s="1"/>
  <c r="L67" i="8" a="1"/>
  <c r="L67" i="8" s="1"/>
  <c r="K67" i="8" a="1"/>
  <c r="K67" i="8" s="1"/>
  <c r="V67" i="8" a="1"/>
  <c r="V67" i="8" s="1"/>
  <c r="S55" i="8" a="1"/>
  <c r="S55" i="8" s="1"/>
  <c r="R55" i="8" a="1"/>
  <c r="R55" i="8" s="1"/>
  <c r="Y65" i="8" a="1"/>
  <c r="Y65" i="8" s="1"/>
  <c r="N65" i="8" a="1"/>
  <c r="N65" i="8" s="1"/>
  <c r="O68" i="8" a="1"/>
  <c r="O68" i="8" s="1"/>
  <c r="M68" i="8" a="1"/>
  <c r="M68" i="8" s="1"/>
  <c r="T53" i="8" a="1"/>
  <c r="T53" i="8" s="1"/>
  <c r="P53" i="8" a="1"/>
  <c r="P53" i="8" s="1"/>
  <c r="S50" i="8" a="1"/>
  <c r="S50" i="8" s="1"/>
  <c r="K50" i="8" a="1"/>
  <c r="K50" i="8" s="1"/>
  <c r="X62" i="8" a="1"/>
  <c r="X62" i="8" s="1"/>
  <c r="U62" i="8" a="1"/>
  <c r="U62" i="8" s="1"/>
  <c r="Z62" i="8" a="1"/>
  <c r="Z62" i="8" s="1"/>
  <c r="Y45" i="8" a="1"/>
  <c r="Y45" i="8" s="1"/>
  <c r="P45" i="8" a="1"/>
  <c r="P45" i="8" s="1"/>
  <c r="Y66" i="8" a="1"/>
  <c r="Y66" i="8" s="1"/>
  <c r="N66" i="8" a="1"/>
  <c r="N66" i="8" s="1"/>
  <c r="M64" i="8" a="1"/>
  <c r="M64" i="8" s="1"/>
  <c r="K64" i="8" a="1"/>
  <c r="K64" i="8" s="1"/>
  <c r="X47" i="8" a="1"/>
  <c r="X47" i="8" s="1"/>
  <c r="T47" i="8" a="1"/>
  <c r="T47" i="8" s="1"/>
  <c r="T59" i="8" a="1"/>
  <c r="T59" i="8" s="1"/>
  <c r="R59" i="8" a="1"/>
  <c r="R59" i="8" s="1"/>
  <c r="T46" i="8" a="1"/>
  <c r="T46" i="8" s="1"/>
  <c r="P46" i="8" a="1"/>
  <c r="P46" i="8" s="1"/>
  <c r="Z46" i="8" a="1"/>
  <c r="Z46" i="8" s="1"/>
  <c r="K52" i="8" a="1"/>
  <c r="K52" i="8" s="1"/>
  <c r="AA52" i="8" a="1"/>
  <c r="AA52" i="8" s="1"/>
  <c r="Q58" i="8" a="1"/>
  <c r="Q58" i="8" s="1"/>
  <c r="N58" i="8" a="1"/>
  <c r="N58" i="8" s="1"/>
  <c r="W49" i="8" a="1"/>
  <c r="W49" i="8" s="1"/>
  <c r="AA49" i="8" a="1"/>
  <c r="AA49" i="8" s="1"/>
  <c r="Z56" i="8" a="1"/>
  <c r="Z56" i="8" s="1"/>
  <c r="O56" i="8" a="1"/>
  <c r="O56" i="8" s="1"/>
  <c r="M57" i="8" a="1"/>
  <c r="M57" i="8" s="1"/>
  <c r="AA57" i="8" a="1"/>
  <c r="AA57" i="8" s="1"/>
  <c r="P48" i="8" a="1"/>
  <c r="P48" i="8" s="1"/>
  <c r="AA48" i="8" a="1"/>
  <c r="AA48" i="8" s="1"/>
  <c r="U63" i="8" a="1"/>
  <c r="U63" i="8" s="1"/>
  <c r="R63" i="8" a="1"/>
  <c r="R63" i="8" s="1"/>
  <c r="N61" i="8" a="1"/>
  <c r="N61" i="8" s="1"/>
  <c r="Z61" i="8" a="1"/>
  <c r="Z61" i="8" s="1"/>
  <c r="L54" i="8" a="1"/>
  <c r="L54" i="8" s="1"/>
  <c r="W54" i="8" a="1"/>
  <c r="W54" i="8" s="1"/>
  <c r="O60" i="8" a="1"/>
  <c r="O60" i="8" s="1"/>
  <c r="Y60" i="8" a="1"/>
  <c r="Y60" i="8" s="1"/>
  <c r="M51" i="8" a="1"/>
  <c r="M51" i="8" s="1"/>
  <c r="X51" i="8" a="1"/>
  <c r="X51" i="8" s="1"/>
  <c r="T67" i="8" a="1"/>
  <c r="T67" i="8" s="1"/>
  <c r="R67" i="8" a="1"/>
  <c r="R67" i="8" s="1"/>
  <c r="P55" i="8" a="1"/>
  <c r="P55" i="8" s="1"/>
  <c r="N55" i="8" a="1"/>
  <c r="N55" i="8" s="1"/>
  <c r="Z55" i="8" a="1"/>
  <c r="Z55" i="8" s="1"/>
  <c r="P65" i="8" a="1"/>
  <c r="P65" i="8" s="1"/>
  <c r="V65" i="8" a="1"/>
  <c r="V65" i="8" s="1"/>
  <c r="V68" i="8" a="1"/>
  <c r="V68" i="8" s="1"/>
  <c r="T68" i="8" a="1"/>
  <c r="T68" i="8" s="1"/>
  <c r="K53" i="8" a="1"/>
  <c r="K53" i="8" s="1"/>
  <c r="X53" i="8" a="1"/>
  <c r="X53" i="8" s="1"/>
  <c r="U50" i="8" a="1"/>
  <c r="U50" i="8" s="1"/>
  <c r="R50" i="8" a="1"/>
  <c r="R50" i="8" s="1"/>
  <c r="P62" i="8" a="1"/>
  <c r="P62" i="8" s="1"/>
  <c r="AA62" i="8" a="1"/>
  <c r="AA62" i="8" s="1"/>
  <c r="N45" i="8" a="1"/>
  <c r="N45" i="8" s="1"/>
  <c r="M45" i="8" a="1"/>
  <c r="M45" i="8" s="1"/>
  <c r="W45" i="8" a="1"/>
  <c r="W45" i="8" s="1"/>
  <c r="W66" i="8" a="1"/>
  <c r="W66" i="8" s="1"/>
  <c r="U66" i="8" a="1"/>
  <c r="U66" i="8" s="1"/>
  <c r="T64" i="8" a="1"/>
  <c r="T64" i="8" s="1"/>
  <c r="P64" i="8" a="1"/>
  <c r="P64" i="8" s="1"/>
  <c r="L47" i="8" a="1"/>
  <c r="L47" i="8" s="1"/>
  <c r="O47" i="8" a="1"/>
  <c r="O47" i="8" s="1"/>
  <c r="O59" i="8" a="1"/>
  <c r="O59" i="8" s="1"/>
  <c r="Z59" i="8" a="1"/>
  <c r="Z59" i="8" s="1"/>
  <c r="AA46" i="8" a="1"/>
  <c r="AA46" i="8" s="1"/>
  <c r="W46" i="8" a="1"/>
  <c r="W46" i="8" s="1"/>
  <c r="O52" i="8" a="1"/>
  <c r="O52" i="8" s="1"/>
  <c r="L52" i="8" a="1"/>
  <c r="L52" i="8" s="1"/>
  <c r="Y58" i="8" a="1"/>
  <c r="Y58" i="8" s="1"/>
  <c r="U58" i="8" a="1"/>
  <c r="U58" i="8" s="1"/>
  <c r="P49" i="8" a="1"/>
  <c r="P49" i="8" s="1"/>
  <c r="M49" i="8" a="1"/>
  <c r="M49" i="8" s="1"/>
  <c r="R56" i="8" a="1"/>
  <c r="R56" i="8" s="1"/>
  <c r="V56" i="8" a="1"/>
  <c r="V56" i="8" s="1"/>
  <c r="P57" i="8" a="1"/>
  <c r="P57" i="8" s="1"/>
  <c r="L57" i="8" a="1"/>
  <c r="L57" i="8" s="1"/>
  <c r="X48" i="8" a="1"/>
  <c r="X48" i="8" s="1"/>
  <c r="L48" i="8" a="1"/>
  <c r="L48" i="8" s="1"/>
  <c r="P63" i="8" a="1"/>
  <c r="P63" i="8" s="1"/>
  <c r="N63" i="8" a="1"/>
  <c r="N63" i="8" s="1"/>
  <c r="Z63" i="8" a="1"/>
  <c r="Z63" i="8" s="1"/>
  <c r="V61" i="8" a="1"/>
  <c r="V61" i="8" s="1"/>
  <c r="S61" i="8" a="1"/>
  <c r="S61" i="8" s="1"/>
  <c r="M54" i="8" a="1"/>
  <c r="M54" i="8" s="1"/>
  <c r="Q54" i="8" a="1"/>
  <c r="Q54" i="8" s="1"/>
  <c r="W60" i="8" a="1"/>
  <c r="W60" i="8" s="1"/>
  <c r="M60" i="8" a="1"/>
  <c r="M60" i="8" s="1"/>
  <c r="U51" i="8" a="1"/>
  <c r="U51" i="8" s="1"/>
  <c r="Q51" i="8" a="1"/>
  <c r="Q51" i="8" s="1"/>
  <c r="W67" i="8" a="1"/>
  <c r="W67" i="8" s="1"/>
  <c r="Z67" i="8" a="1"/>
  <c r="Z67" i="8" s="1"/>
  <c r="X55" i="8" a="1"/>
  <c r="X55" i="8" s="1"/>
  <c r="V55" i="8" a="1"/>
  <c r="V55" i="8" s="1"/>
  <c r="R65" i="8" a="1"/>
  <c r="R65" i="8" s="1"/>
  <c r="O65" i="8" a="1"/>
  <c r="O65" i="8" s="1"/>
  <c r="Q68" i="8" a="1"/>
  <c r="Q68" i="8" s="1"/>
  <c r="L68" i="8" a="1"/>
  <c r="L68" i="8" s="1"/>
  <c r="M53" i="8" a="1"/>
  <c r="M53" i="8" s="1"/>
  <c r="R53" i="8" a="1"/>
  <c r="R53" i="8" s="1"/>
  <c r="Z50" i="8" a="1"/>
  <c r="Z50" i="8" s="1"/>
  <c r="Y50" i="8" a="1"/>
  <c r="Y50" i="8" s="1"/>
  <c r="K62" i="8" a="1"/>
  <c r="K62" i="8" s="1"/>
  <c r="O62" i="8" a="1"/>
  <c r="O62" i="8" s="1"/>
  <c r="Q45" i="8" a="1"/>
  <c r="Q45" i="8" s="1"/>
  <c r="S45" i="8" a="1"/>
  <c r="S45" i="8" s="1"/>
  <c r="R66" i="8" a="1"/>
  <c r="R66" i="8" s="1"/>
  <c r="O66" i="8" a="1"/>
  <c r="O66" i="8" s="1"/>
  <c r="AA64" i="8" a="1"/>
  <c r="AA64" i="8" s="1"/>
  <c r="Y47" i="8" a="1"/>
  <c r="Y47" i="8" s="1"/>
  <c r="P59" i="8" a="1"/>
  <c r="P59" i="8" s="1"/>
  <c r="L46" i="8" a="1"/>
  <c r="L46" i="8" s="1"/>
  <c r="M52" i="8" a="1"/>
  <c r="M52" i="8" s="1"/>
  <c r="W52" i="8" a="1"/>
  <c r="W52" i="8" s="1"/>
  <c r="R58" i="8" a="1"/>
  <c r="R58" i="8" s="1"/>
  <c r="X49" i="8" a="1"/>
  <c r="X49" i="8" s="1"/>
  <c r="M56" i="8" a="1"/>
  <c r="M56" i="8" s="1"/>
  <c r="X57" i="8" a="1"/>
  <c r="X57" i="8" s="1"/>
  <c r="U48" i="8" a="1"/>
  <c r="U48" i="8" s="1"/>
  <c r="X63" i="8" a="1"/>
  <c r="X63" i="8" s="1"/>
  <c r="Q61" i="8" a="1"/>
  <c r="Q61" i="8" s="1"/>
  <c r="T61" i="8" a="1"/>
  <c r="T61" i="8" s="1"/>
  <c r="T54" i="8" a="1"/>
  <c r="T54" i="8" s="1"/>
  <c r="V60" i="8" a="1"/>
  <c r="V60" i="8" s="1"/>
  <c r="N51" i="8" a="1"/>
  <c r="N51" i="8" s="1"/>
  <c r="P67" i="8" a="1"/>
  <c r="P67" i="8" s="1"/>
  <c r="AA55" i="8" a="1"/>
  <c r="AA55" i="8" s="1"/>
  <c r="M65" i="8" a="1"/>
  <c r="M65" i="8" s="1"/>
  <c r="Z65" i="8" a="1"/>
  <c r="Z65" i="8" s="1"/>
  <c r="Y68" i="8" a="1"/>
  <c r="Y68" i="8" s="1"/>
  <c r="U53" i="8" a="1"/>
  <c r="U53" i="8" s="1"/>
  <c r="V50" i="8" a="1"/>
  <c r="V50" i="8" s="1"/>
  <c r="L62" i="8" a="1"/>
  <c r="L62" i="8" s="1"/>
  <c r="U45" i="8" a="1"/>
  <c r="U45" i="8" s="1"/>
  <c r="M66" i="8" a="1"/>
  <c r="M66" i="8" s="1"/>
  <c r="Z66" i="8" a="1"/>
  <c r="Z66" i="8" s="1"/>
  <c r="E44" i="8"/>
  <c r="B44" i="8" a="1"/>
  <c r="B44" i="8" s="1"/>
  <c r="E43" i="8"/>
  <c r="B43" i="8" a="1"/>
  <c r="B43" i="8" s="1"/>
  <c r="E42" i="8"/>
  <c r="B42" i="8" a="1"/>
  <c r="B42" i="8" s="1"/>
  <c r="E41" i="8"/>
  <c r="B41" i="8" a="1"/>
  <c r="B41" i="8" s="1"/>
  <c r="E40" i="8"/>
  <c r="B40" i="8" a="1"/>
  <c r="B40" i="8" s="1"/>
  <c r="E39" i="8"/>
  <c r="B39" i="8" a="1"/>
  <c r="B39" i="8" s="1"/>
  <c r="E38" i="8"/>
  <c r="B38" i="8" a="1"/>
  <c r="B38" i="8" s="1"/>
  <c r="E37" i="8"/>
  <c r="B37" i="8" a="1"/>
  <c r="B37" i="8" s="1"/>
  <c r="X39" i="8" l="1" a="1"/>
  <c r="X39" i="8" s="1"/>
  <c r="K39" i="8" a="1"/>
  <c r="K39" i="8" s="1"/>
  <c r="P39" i="8" a="1"/>
  <c r="P39" i="8" s="1"/>
  <c r="T39" i="8" a="1"/>
  <c r="T39" i="8" s="1"/>
  <c r="W39" i="8" a="1"/>
  <c r="W39" i="8" s="1"/>
  <c r="Q39" i="8" a="1"/>
  <c r="Q39" i="8" s="1"/>
  <c r="O39" i="8" a="1"/>
  <c r="O39" i="8" s="1"/>
  <c r="L39" i="8" a="1"/>
  <c r="L39" i="8" s="1"/>
  <c r="Z39" i="8" a="1"/>
  <c r="Z39" i="8" s="1"/>
  <c r="V39" i="8" a="1"/>
  <c r="V39" i="8" s="1"/>
  <c r="AA39" i="8" a="1"/>
  <c r="AA39" i="8" s="1"/>
  <c r="S39" i="8" a="1"/>
  <c r="S39" i="8" s="1"/>
  <c r="N39" i="8" a="1"/>
  <c r="N39" i="8" s="1"/>
  <c r="Y39" i="8" a="1"/>
  <c r="Y39" i="8" s="1"/>
  <c r="U39" i="8" a="1"/>
  <c r="U39" i="8" s="1"/>
  <c r="R39" i="8" a="1"/>
  <c r="R39" i="8" s="1"/>
  <c r="M39" i="8" a="1"/>
  <c r="M39" i="8" s="1"/>
  <c r="Z43" i="8" a="1"/>
  <c r="Z43" i="8" s="1"/>
  <c r="Q43" i="8" a="1"/>
  <c r="Q43" i="8" s="1"/>
  <c r="W43" i="8" a="1"/>
  <c r="W43" i="8" s="1"/>
  <c r="S43" i="8" a="1"/>
  <c r="S43" i="8" s="1"/>
  <c r="N43" i="8" a="1"/>
  <c r="N43" i="8" s="1"/>
  <c r="P43" i="8" a="1"/>
  <c r="P43" i="8" s="1"/>
  <c r="M43" i="8" a="1"/>
  <c r="M43" i="8" s="1"/>
  <c r="V43" i="8" a="1"/>
  <c r="V43" i="8" s="1"/>
  <c r="Y43" i="8" a="1"/>
  <c r="Y43" i="8" s="1"/>
  <c r="O43" i="8" a="1"/>
  <c r="O43" i="8" s="1"/>
  <c r="R43" i="8" a="1"/>
  <c r="R43" i="8" s="1"/>
  <c r="AA43" i="8" a="1"/>
  <c r="AA43" i="8" s="1"/>
  <c r="L43" i="8" a="1"/>
  <c r="L43" i="8" s="1"/>
  <c r="T43" i="8" a="1"/>
  <c r="T43" i="8" s="1"/>
  <c r="U43" i="8" a="1"/>
  <c r="U43" i="8" s="1"/>
  <c r="K43" i="8" a="1"/>
  <c r="K43" i="8" s="1"/>
  <c r="X43" i="8" a="1"/>
  <c r="X43" i="8" s="1"/>
  <c r="W44" i="8" a="1"/>
  <c r="W44" i="8" s="1"/>
  <c r="L44" i="8" a="1"/>
  <c r="L44" i="8" s="1"/>
  <c r="Z44" i="8" a="1"/>
  <c r="Z44" i="8" s="1"/>
  <c r="P44" i="8" a="1"/>
  <c r="P44" i="8" s="1"/>
  <c r="AA44" i="8" a="1"/>
  <c r="AA44" i="8" s="1"/>
  <c r="S44" i="8" a="1"/>
  <c r="S44" i="8" s="1"/>
  <c r="K44" i="8" a="1"/>
  <c r="K44" i="8" s="1"/>
  <c r="M44" i="8" a="1"/>
  <c r="M44" i="8" s="1"/>
  <c r="V44" i="8" a="1"/>
  <c r="V44" i="8" s="1"/>
  <c r="Y44" i="8" a="1"/>
  <c r="Y44" i="8" s="1"/>
  <c r="O44" i="8" a="1"/>
  <c r="O44" i="8" s="1"/>
  <c r="R44" i="8" a="1"/>
  <c r="R44" i="8" s="1"/>
  <c r="U44" i="8" a="1"/>
  <c r="U44" i="8" s="1"/>
  <c r="X44" i="8" a="1"/>
  <c r="X44" i="8" s="1"/>
  <c r="N44" i="8" a="1"/>
  <c r="N44" i="8" s="1"/>
  <c r="Q44" i="8" a="1"/>
  <c r="Q44" i="8" s="1"/>
  <c r="T44" i="8" a="1"/>
  <c r="T44" i="8" s="1"/>
  <c r="K41" i="8" a="1"/>
  <c r="K41" i="8" s="1"/>
  <c r="R41" i="8" a="1"/>
  <c r="R41" i="8" s="1"/>
  <c r="AA41" i="8" a="1"/>
  <c r="AA41" i="8" s="1"/>
  <c r="Q41" i="8" a="1"/>
  <c r="Q41" i="8" s="1"/>
  <c r="T41" i="8" a="1"/>
  <c r="T41" i="8" s="1"/>
  <c r="P41" i="8" a="1"/>
  <c r="P41" i="8" s="1"/>
  <c r="M41" i="8" a="1"/>
  <c r="M41" i="8" s="1"/>
  <c r="X41" i="8" a="1"/>
  <c r="X41" i="8" s="1"/>
  <c r="W41" i="8" a="1"/>
  <c r="W41" i="8" s="1"/>
  <c r="Z41" i="8" a="1"/>
  <c r="Z41" i="8" s="1"/>
  <c r="U41" i="8" a="1"/>
  <c r="U41" i="8" s="1"/>
  <c r="O41" i="8" a="1"/>
  <c r="O41" i="8" s="1"/>
  <c r="S41" i="8" a="1"/>
  <c r="S41" i="8" s="1"/>
  <c r="V41" i="8" a="1"/>
  <c r="V41" i="8" s="1"/>
  <c r="L41" i="8" a="1"/>
  <c r="L41" i="8" s="1"/>
  <c r="N41" i="8" a="1"/>
  <c r="N41" i="8" s="1"/>
  <c r="Y41" i="8" a="1"/>
  <c r="Y41" i="8" s="1"/>
  <c r="Z38" i="8" a="1"/>
  <c r="Z38" i="8" s="1"/>
  <c r="U38" i="8" a="1"/>
  <c r="U38" i="8" s="1"/>
  <c r="S38" i="8" a="1"/>
  <c r="S38" i="8" s="1"/>
  <c r="O38" i="8" a="1"/>
  <c r="O38" i="8" s="1"/>
  <c r="X38" i="8" a="1"/>
  <c r="X38" i="8" s="1"/>
  <c r="Y38" i="8" a="1"/>
  <c r="Y38" i="8" s="1"/>
  <c r="Q38" i="8" a="1"/>
  <c r="Q38" i="8" s="1"/>
  <c r="R38" i="8" a="1"/>
  <c r="R38" i="8" s="1"/>
  <c r="W38" i="8" a="1"/>
  <c r="W38" i="8" s="1"/>
  <c r="N38" i="8" a="1"/>
  <c r="N38" i="8" s="1"/>
  <c r="AA38" i="8" a="1"/>
  <c r="AA38" i="8" s="1"/>
  <c r="V38" i="8" a="1"/>
  <c r="V38" i="8" s="1"/>
  <c r="L38" i="8" a="1"/>
  <c r="L38" i="8" s="1"/>
  <c r="T38" i="8" a="1"/>
  <c r="T38" i="8" s="1"/>
  <c r="P38" i="8" a="1"/>
  <c r="P38" i="8" s="1"/>
  <c r="M38" i="8" a="1"/>
  <c r="M38" i="8" s="1"/>
  <c r="K38" i="8" a="1"/>
  <c r="K38" i="8" s="1"/>
  <c r="S42" i="8" a="1"/>
  <c r="S42" i="8" s="1"/>
  <c r="V42" i="8" a="1"/>
  <c r="V42" i="8" s="1"/>
  <c r="M42" i="8" a="1"/>
  <c r="M42" i="8" s="1"/>
  <c r="O42" i="8" a="1"/>
  <c r="O42" i="8" s="1"/>
  <c r="Y42" i="8" a="1"/>
  <c r="Y42" i="8" s="1"/>
  <c r="U42" i="8" a="1"/>
  <c r="U42" i="8" s="1"/>
  <c r="R42" i="8" a="1"/>
  <c r="R42" i="8" s="1"/>
  <c r="N42" i="8" a="1"/>
  <c r="N42" i="8" s="1"/>
  <c r="X42" i="8" a="1"/>
  <c r="X42" i="8" s="1"/>
  <c r="AA42" i="8" a="1"/>
  <c r="AA42" i="8" s="1"/>
  <c r="Q42" i="8" a="1"/>
  <c r="Q42" i="8" s="1"/>
  <c r="T42" i="8" a="1"/>
  <c r="T42" i="8" s="1"/>
  <c r="W42" i="8" a="1"/>
  <c r="W42" i="8" s="1"/>
  <c r="K42" i="8" a="1"/>
  <c r="K42" i="8" s="1"/>
  <c r="Z42" i="8" a="1"/>
  <c r="Z42" i="8" s="1"/>
  <c r="P42" i="8" a="1"/>
  <c r="P42" i="8" s="1"/>
  <c r="L42" i="8" a="1"/>
  <c r="L42" i="8" s="1"/>
  <c r="Z37" i="8" a="1"/>
  <c r="Z37" i="8" s="1"/>
  <c r="L37" i="8" a="1"/>
  <c r="L37" i="8" s="1"/>
  <c r="V37" i="8" a="1"/>
  <c r="V37" i="8" s="1"/>
  <c r="R37" i="8" a="1"/>
  <c r="R37" i="8" s="1"/>
  <c r="T37" i="8" a="1"/>
  <c r="T37" i="8" s="1"/>
  <c r="N37" i="8" a="1"/>
  <c r="N37" i="8" s="1"/>
  <c r="Y37" i="8" a="1"/>
  <c r="Y37" i="8" s="1"/>
  <c r="U37" i="8" a="1"/>
  <c r="U37" i="8" s="1"/>
  <c r="Q37" i="8" a="1"/>
  <c r="Q37" i="8" s="1"/>
  <c r="M37" i="8" a="1"/>
  <c r="M37" i="8" s="1"/>
  <c r="X37" i="8" a="1"/>
  <c r="X37" i="8" s="1"/>
  <c r="AA37" i="8" a="1"/>
  <c r="AA37" i="8" s="1"/>
  <c r="P37" i="8" a="1"/>
  <c r="P37" i="8" s="1"/>
  <c r="S37" i="8" a="1"/>
  <c r="S37" i="8" s="1"/>
  <c r="W37" i="8" a="1"/>
  <c r="W37" i="8" s="1"/>
  <c r="K37" i="8" a="1"/>
  <c r="K37" i="8" s="1"/>
  <c r="O37" i="8" a="1"/>
  <c r="O37" i="8" s="1"/>
  <c r="AA40" i="8" a="1"/>
  <c r="AA40" i="8" s="1"/>
  <c r="K40" i="8" a="1"/>
  <c r="K40" i="8" s="1"/>
  <c r="T40" i="8" a="1"/>
  <c r="T40" i="8" s="1"/>
  <c r="R40" i="8" a="1"/>
  <c r="R40" i="8" s="1"/>
  <c r="Q40" i="8" a="1"/>
  <c r="Q40" i="8" s="1"/>
  <c r="M40" i="8" a="1"/>
  <c r="M40" i="8" s="1"/>
  <c r="O40" i="8" a="1"/>
  <c r="O40" i="8" s="1"/>
  <c r="X40" i="8" a="1"/>
  <c r="X40" i="8" s="1"/>
  <c r="Z40" i="8" a="1"/>
  <c r="Z40" i="8" s="1"/>
  <c r="P40" i="8" a="1"/>
  <c r="P40" i="8" s="1"/>
  <c r="S40" i="8" a="1"/>
  <c r="S40" i="8" s="1"/>
  <c r="V40" i="8" a="1"/>
  <c r="V40" i="8" s="1"/>
  <c r="L40" i="8" a="1"/>
  <c r="L40" i="8" s="1"/>
  <c r="N40" i="8" a="1"/>
  <c r="N40" i="8" s="1"/>
  <c r="Y40" i="8" a="1"/>
  <c r="Y40" i="8" s="1"/>
  <c r="U40" i="8" a="1"/>
  <c r="U40" i="8" s="1"/>
  <c r="W40" i="8" a="1"/>
  <c r="W4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tc={C1F885D5-B4C6-435E-B32D-BC4BA417802F}</author>
    <author>tc={20772D0C-1DC4-488D-8DAE-167B16634219}</author>
  </authors>
  <commentList>
    <comment ref="C4" authorId="0" shapeId="0" xr:uid="{D3F8FF69-5E82-4274-B964-DBD5560EF701}">
      <text>
        <t>[Threaded comment]
Your version of Excel allows you to read this threaded comment; however, any edits to it will get removed if the file is opened in a newer version of Excel. Learn more: https://go.microsoft.com/fwlink/?linkid=870924
Comment:
    Sector Label</t>
      </text>
    </comment>
    <comment ref="C43" authorId="1" shapeId="0" xr:uid="{0A6D2CD0-F9DD-4B69-90C3-E1EE88E1BA1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3" authorId="2" shapeId="0" xr:uid="{605C46EF-E1B1-489E-8B85-69166D5D90A1}">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 ref="C154" authorId="3" shapeId="0" xr:uid="{C1F885D5-B4C6-435E-B32D-BC4BA417802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154" authorId="4" shapeId="0" xr:uid="{20772D0C-1DC4-488D-8DAE-167B16634219}">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<sst xmlns="http://schemas.openxmlformats.org/spreadsheetml/2006/main" count="825" uniqueCount="250">
  <si>
    <t>Sector</t>
  </si>
  <si>
    <t>Date of Analysis</t>
  </si>
  <si>
    <t>Worksheet Info</t>
  </si>
  <si>
    <t>FrEDI Outputs 1</t>
  </si>
  <si>
    <t>FrEDI Outputs 2</t>
  </si>
  <si>
    <t>N/A</t>
  </si>
  <si>
    <t>Links to reports</t>
  </si>
  <si>
    <t xml:space="preserve">Social Vulnerability Report </t>
  </si>
  <si>
    <t>Framework for Evaluating Damages and Impacts (FrEDI)</t>
  </si>
  <si>
    <t>Worksheet</t>
  </si>
  <si>
    <t>Description</t>
  </si>
  <si>
    <t>Impacts</t>
  </si>
  <si>
    <t>Difference in Risk</t>
  </si>
  <si>
    <t>Rates</t>
  </si>
  <si>
    <t>Contains outputs from the FrEDI-SV Module. Graphics and tables in other tabs refer to this worksheet and/or FrEDI Outputs 2.</t>
  </si>
  <si>
    <t>Contains outputs from the FrEDI-SV Module if the specified sector has a second variant. Graphics and tables in other tabs refer to this worksheet and/or FrEDI Outputs 1.</t>
  </si>
  <si>
    <t>Control Panel</t>
  </si>
  <si>
    <t>Definitions</t>
  </si>
  <si>
    <t>Socially Vulnerable Population</t>
  </si>
  <si>
    <t>Individuals with demographics that meet the criteria described below for Low Income, Minority, No High School Diploma, and 65 and Older.</t>
  </si>
  <si>
    <t>Reference Population</t>
  </si>
  <si>
    <t>All individuals other than those in the socially vulnerable population group being analyzed. For example, the Low Income Reference population includes everyone with income that is above 200% of the poverty line.</t>
  </si>
  <si>
    <t>Socially Vulnerable Categories</t>
  </si>
  <si>
    <t>Low Income</t>
  </si>
  <si>
    <t>Individuals living in households with income that is at or below 200% of the poverty level.</t>
  </si>
  <si>
    <t>Minority*</t>
  </si>
  <si>
    <t>Individuals identifying as Black or African American; American Indian or Alaska Native; Asian; Native Hawaiian or Other Pacific Islander; and/or Hispanic or Latino.</t>
  </si>
  <si>
    <t>No High School Diploma</t>
  </si>
  <si>
    <t>Individuals ages 25 and older with a maximum educational attainment of less than a high school diploma or equivalent.</t>
  </si>
  <si>
    <t>65 and older</t>
  </si>
  <si>
    <t>Individuals ages 65 and older</t>
  </si>
  <si>
    <t>Select from dropdown menus to update graphic below (graphic may take a moment to update):</t>
  </si>
  <si>
    <t>SV Group</t>
  </si>
  <si>
    <t>Minority</t>
  </si>
  <si>
    <t>Reference Scenario</t>
  </si>
  <si>
    <t>Region</t>
  </si>
  <si>
    <t>CONUS</t>
  </si>
  <si>
    <t>Scenario to Compare</t>
  </si>
  <si>
    <t>Year</t>
  </si>
  <si>
    <t>2050</t>
  </si>
  <si>
    <t>Years for plotting:</t>
  </si>
  <si>
    <t>Row</t>
  </si>
  <si>
    <t>2010</t>
  </si>
  <si>
    <t>2015</t>
  </si>
  <si>
    <t>2020</t>
  </si>
  <si>
    <t>2025</t>
  </si>
  <si>
    <t>2030</t>
  </si>
  <si>
    <t>2035</t>
  </si>
  <si>
    <t>2040</t>
  </si>
  <si>
    <t>2045</t>
  </si>
  <si>
    <t>2055</t>
  </si>
  <si>
    <t>2060</t>
  </si>
  <si>
    <t>2065</t>
  </si>
  <si>
    <t>2070</t>
  </si>
  <si>
    <t>2075</t>
  </si>
  <si>
    <t>2080</t>
  </si>
  <si>
    <t>2085</t>
  </si>
  <si>
    <t>2090</t>
  </si>
  <si>
    <t>Difference</t>
  </si>
  <si>
    <t>White, non-Hispanic</t>
  </si>
  <si>
    <t>Two or more races</t>
  </si>
  <si>
    <t>Pacific Islander</t>
  </si>
  <si>
    <t>Other Race</t>
  </si>
  <si>
    <t>Hispanic or Latino</t>
  </si>
  <si>
    <t>Black or African American</t>
  </si>
  <si>
    <t>Asian</t>
  </si>
  <si>
    <t>American Indian or Alaska Native</t>
  </si>
  <si>
    <t>SV Category</t>
  </si>
  <si>
    <t>SV Category ID</t>
  </si>
  <si>
    <t>Impact Group</t>
  </si>
  <si>
    <t>Group Classification</t>
  </si>
  <si>
    <t>Emissions Scenario</t>
  </si>
  <si>
    <t>SV</t>
  </si>
  <si>
    <t>Ref</t>
  </si>
  <si>
    <t>Scenario</t>
  </si>
  <si>
    <t>Value</t>
  </si>
  <si>
    <t>Format</t>
  </si>
  <si>
    <t>Impact Unit</t>
  </si>
  <si>
    <t>SV Group:</t>
  </si>
  <si>
    <t>Region:</t>
  </si>
  <si>
    <t>Type</t>
  </si>
  <si>
    <t>Reference Emissions Scenario</t>
  </si>
  <si>
    <t>region</t>
  </si>
  <si>
    <t>svGroupType</t>
  </si>
  <si>
    <t>driverUnit</t>
  </si>
  <si>
    <t>driverValue</t>
  </si>
  <si>
    <t>year</t>
  </si>
  <si>
    <t>impPop_ref</t>
  </si>
  <si>
    <t>impPop_sv</t>
  </si>
  <si>
    <t>impact_ref</t>
  </si>
  <si>
    <t>impact_sv</t>
  </si>
  <si>
    <t>national_highRiskPop_sv</t>
  </si>
  <si>
    <t>national_highRiskPop_ref</t>
  </si>
  <si>
    <t>regional_highRiskPop_sv</t>
  </si>
  <si>
    <t>regional_highRiskPop_ref</t>
  </si>
  <si>
    <t>aveRate_sv</t>
  </si>
  <si>
    <t>aveRate_ref</t>
  </si>
  <si>
    <t>scenario</t>
  </si>
  <si>
    <t>variant</t>
  </si>
  <si>
    <t>Sectors</t>
  </si>
  <si>
    <t>ID</t>
  </si>
  <si>
    <t>sector</t>
  </si>
  <si>
    <t>sector_abbr</t>
  </si>
  <si>
    <t>impactUnit</t>
  </si>
  <si>
    <t>impactUnitFormatted</t>
  </si>
  <si>
    <t>popWeightColumn</t>
  </si>
  <si>
    <t>popWeightLabel</t>
  </si>
  <si>
    <t>rateUnit</t>
  </si>
  <si>
    <t>rateUnitLabel</t>
  </si>
  <si>
    <t>modelType</t>
  </si>
  <si>
    <t>driverUnit_label</t>
  </si>
  <si>
    <t>childhood asthma cases</t>
  </si>
  <si>
    <t>Childhood asthma cases</t>
  </si>
  <si>
    <t>children</t>
  </si>
  <si>
    <t>Children</t>
  </si>
  <si>
    <t>per 100k</t>
  </si>
  <si>
    <t>gcm</t>
  </si>
  <si>
    <t>Labor</t>
  </si>
  <si>
    <t>laborLabor</t>
  </si>
  <si>
    <t>hours of labor lost</t>
  </si>
  <si>
    <t>Hours of labor lost</t>
  </si>
  <si>
    <t>highRiskLabor</t>
  </si>
  <si>
    <t>High Risk Workers</t>
  </si>
  <si>
    <t>per capita</t>
  </si>
  <si>
    <t>Extreme Temperature</t>
  </si>
  <si>
    <t>extremeTemp</t>
  </si>
  <si>
    <t>mortality</t>
  </si>
  <si>
    <t>Mortality</t>
  </si>
  <si>
    <t>none</t>
  </si>
  <si>
    <t>Roads</t>
  </si>
  <si>
    <t>roads</t>
  </si>
  <si>
    <t>hours of delay</t>
  </si>
  <si>
    <t>Hours of delay</t>
  </si>
  <si>
    <t>High Tide Flooding and Traffic</t>
  </si>
  <si>
    <t>htf</t>
  </si>
  <si>
    <t>slr</t>
  </si>
  <si>
    <t>Coastal Properties</t>
  </si>
  <si>
    <t>coastalProp</t>
  </si>
  <si>
    <t>Variants</t>
  </si>
  <si>
    <t>variant_label</t>
  </si>
  <si>
    <t>variant_abbr</t>
  </si>
  <si>
    <t>NA</t>
  </si>
  <si>
    <t>No Adaptation</t>
  </si>
  <si>
    <t>noAdapt</t>
  </si>
  <si>
    <t>Proactive Adaptation</t>
  </si>
  <si>
    <t>proactiveAdapt</t>
  </si>
  <si>
    <t>With Adaptation</t>
  </si>
  <si>
    <t>withAdapt</t>
  </si>
  <si>
    <t>Without Adaptation</t>
  </si>
  <si>
    <t>withoutAdapt</t>
  </si>
  <si>
    <t>Model Types</t>
  </si>
  <si>
    <t>driverUnit_abbr</t>
  </si>
  <si>
    <t>temp_C</t>
  </si>
  <si>
    <t>degrees Celsius</t>
  </si>
  <si>
    <t>slr_cm</t>
  </si>
  <si>
    <t>cm</t>
  </si>
  <si>
    <t>Emissions Scenarios</t>
  </si>
  <si>
    <t>Default Label</t>
  </si>
  <si>
    <t>Input Emissions Scenario</t>
  </si>
  <si>
    <t>Social Vulnerability Categories</t>
  </si>
  <si>
    <t>svGroupLabel</t>
  </si>
  <si>
    <t>sv_lowIncome</t>
  </si>
  <si>
    <t>sv_minority</t>
  </si>
  <si>
    <t>sv_noHS</t>
  </si>
  <si>
    <t>sv_plus65</t>
  </si>
  <si>
    <t>race_amInd</t>
  </si>
  <si>
    <t>race_asian</t>
  </si>
  <si>
    <t>race_black</t>
  </si>
  <si>
    <t>race_pacIsl</t>
  </si>
  <si>
    <t>race_multiRacial</t>
  </si>
  <si>
    <t>race_otherRace</t>
  </si>
  <si>
    <t>race_hispanic</t>
  </si>
  <si>
    <t>race_white</t>
  </si>
  <si>
    <t>Model values</t>
  </si>
  <si>
    <t>valueName</t>
  </si>
  <si>
    <t>description</t>
  </si>
  <si>
    <t>value2</t>
  </si>
  <si>
    <t>mv_sector</t>
  </si>
  <si>
    <t>Sector name</t>
  </si>
  <si>
    <t>n_ethnicities</t>
  </si>
  <si>
    <t>Number of ethnicity categories</t>
  </si>
  <si>
    <t>n_scenarios</t>
  </si>
  <si>
    <t>Number of scenarios</t>
  </si>
  <si>
    <t>n_refTypes</t>
  </si>
  <si>
    <t>Number of reference types, SV, Ref</t>
  </si>
  <si>
    <t>Plots</t>
  </si>
  <si>
    <t>plot_id</t>
  </si>
  <si>
    <t>plotNumber</t>
  </si>
  <si>
    <t>inputsName</t>
  </si>
  <si>
    <t>impacts1</t>
  </si>
  <si>
    <t>input_impacts1</t>
  </si>
  <si>
    <t>impacts2</t>
  </si>
  <si>
    <t>input_impacts2</t>
  </si>
  <si>
    <t>Risk</t>
  </si>
  <si>
    <t>risk1</t>
  </si>
  <si>
    <t>input_risk1</t>
  </si>
  <si>
    <t>rates1</t>
  </si>
  <si>
    <t>input_rates1</t>
  </si>
  <si>
    <t>rates2</t>
  </si>
  <si>
    <t>input_rates2</t>
  </si>
  <si>
    <t>rates3</t>
  </si>
  <si>
    <t>input_rates3</t>
  </si>
  <si>
    <t>Plot selections</t>
  </si>
  <si>
    <t>Default value</t>
  </si>
  <si>
    <t>inputType</t>
  </si>
  <si>
    <t>inputIndex</t>
  </si>
  <si>
    <t>inputValue</t>
  </si>
  <si>
    <t>Plot Labels</t>
  </si>
  <si>
    <t>valueType</t>
  </si>
  <si>
    <t>value</t>
  </si>
  <si>
    <t>title</t>
  </si>
  <si>
    <t>xAxisLabel</t>
  </si>
  <si>
    <t>yAxisLabel</t>
  </si>
  <si>
    <t>Regions</t>
  </si>
  <si>
    <t>Midwest</t>
  </si>
  <si>
    <t>Northeast</t>
  </si>
  <si>
    <t>Northern Plains</t>
  </si>
  <si>
    <t>Northwest</t>
  </si>
  <si>
    <t>Southeast</t>
  </si>
  <si>
    <t>Southern Plains</t>
  </si>
  <si>
    <t>Southwest</t>
  </si>
  <si>
    <t>Years</t>
  </si>
  <si>
    <t>SV Categories and Valid Impact Types for Risk</t>
  </si>
  <si>
    <t>Valid Impacts</t>
  </si>
  <si>
    <t>highRiskLabor, none</t>
  </si>
  <si>
    <t>rates4</t>
  </si>
  <si>
    <t>input_rates4</t>
  </si>
  <si>
    <t>Graphics - Impacts per person or per 100k people (depending on the sector) for the input scenarios. Avoided impacts are the difference in new climate-driven impacts for a given scenario compared to a user-selected reference scenario.</t>
  </si>
  <si>
    <t>Graphics - Avoided impact incidence among socially vulnerable populations for the input scenarios. Avoided impacts are the difference in new climate-driven impacts for a given scenario compared to a user-selected reference scenario.</t>
  </si>
  <si>
    <t>Contains lists of scenarios, regions, socially vulnerable populations evaluated, column abbreviation definitions, and sectors.</t>
  </si>
  <si>
    <t>Graphics - Bar charts that were featured in the Social Vulnerability Report. See that report for a description of the methods. These indicate the difference in exposure to hazards of socially vulnerable populations compared to a reference population (see definitions below). These are interpreted as, for example, "low income populations are X% more likely to live in high impact areas than the reference population" where X is the percentage on the graphic. High impact is defined as the highest third (tercile) of impacts across CONUS.</t>
  </si>
  <si>
    <t>individuals threatened with total property loss</t>
  </si>
  <si>
    <t>Individuals threatened with total property loss</t>
  </si>
  <si>
    <t>Air Quality - Childhood Asthma</t>
  </si>
  <si>
    <t>Air Quality - Premature Mortality</t>
  </si>
  <si>
    <t>airQualityAsthma</t>
  </si>
  <si>
    <t>airQualityMortality</t>
  </si>
  <si>
    <t>children, highRiskLabor, sv_plus65, none</t>
  </si>
  <si>
    <t>highRiskLabor, sv_plus65, none</t>
  </si>
  <si>
    <t>Missing SV Group Text</t>
  </si>
  <si>
    <t>65 and Older</t>
  </si>
  <si>
    <t>65 and Older and No High School Diploma</t>
  </si>
  <si>
    <t>Alternate Plot Title</t>
  </si>
  <si>
    <t>person-hours of delay</t>
  </si>
  <si>
    <t>Formatted Label</t>
  </si>
  <si>
    <t>Hispanic
or Latino</t>
  </si>
  <si>
    <t>American Indian
or Alaska Native</t>
  </si>
  <si>
    <t>Black or African
American</t>
  </si>
  <si>
    <t>White, non-
Hispanic</t>
  </si>
  <si>
    <t>Two or more
races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</si>
</sst>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font>
    <font>
      <sz val="8"/>
      <name val="Calibri"/>
      <family val="2"/>
      <scheme val="minor"/>
    </font>
    <font>
      <sz val="10"/>
      <color theme="1"/>
      <name val="Calibri"/>
      <family val="2"/>
      <scheme val="minor"/>
    </font>
    <font>
      <sz val="10"/>
      <color rgb="FFFF0000"/>
      <name val="Calibri"/>
      <family val="2"/>
      <scheme val="minor"/>
    </font>
    <font>
      <b/>
      <sz val="10"/>
      <color theme="0"/>
      <name val="Calibri"/>
      <family val="2"/>
      <scheme val="minor"/>
    </font>
    <font>
      <b/>
      <sz val="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9" tint="0.79998168889431442"/>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bottom style="medium">
        <color indexed="64"/>
      </bottom>
      <diagonal/>
    </border>
    <border>
      <left/>
      <right/>
      <top style="thin">
        <color theme="1"/>
      </top>
      <bottom/>
      <diagonal/>
    </border>
    <border>
      <left/>
      <right/>
      <top style="thin">
        <color theme="1"/>
      </top>
      <bottom style="thin">
        <color theme="1"/>
      </bottom>
      <diagonal/>
    </border>
  </borders>
  <cellStyleXfs count="2">
    <xf numFmtId="0" fontId="0" fillId="0" borderId="0"/>
    <xf numFmtId="9" fontId="1" fillId="0" borderId="0" applyFont="0" applyFill="0" applyBorder="0" applyAlignment="0" applyProtection="0"/>
  </cellStyleXfs>
  <cellXfs count="39">
    <xf numFmtId="0" fontId="0" fillId="0" borderId="0" xfId="0"/>
    <xf numFmtId="0" fontId="0" fillId="0" borderId="0" xfId="0" applyAlignment="1">
      <alignment horizontal="left"/>
    </xf>
    <xf numFmtId="1" fontId="0" fillId="0" borderId="0" xfId="0" applyNumberFormat="1"/>
    <xf numFmtId="9" fontId="0" fillId="0" borderId="0" xfId="1" applyFont="1"/>
    <xf numFmtId="0" fontId="0" fillId="0" borderId="0" xfId="0" applyAlignment="1">
      <alignment horizontal="right"/>
    </xf>
    <xf numFmtId="14" fontId="0" fillId="0" borderId="0" xfId="0" applyNumberFormat="1"/>
    <xf numFmtId="0" fontId="4" fillId="0" borderId="0" xfId="0" applyFont="1"/>
    <xf numFmtId="0" fontId="4" fillId="0" borderId="0" xfId="0" applyFont="1" applyAlignment="1">
      <alignment horizontal="left"/>
    </xf>
    <xf numFmtId="0" fontId="4" fillId="0" borderId="0" xfId="0" applyFont="1" applyAlignment="1">
      <alignment horizontal="center"/>
    </xf>
    <xf numFmtId="0" fontId="4" fillId="4" borderId="0" xfId="0" applyFont="1" applyFill="1"/>
    <xf numFmtId="0" fontId="4" fillId="4" borderId="0" xfId="0" applyFont="1" applyFill="1" applyAlignment="1">
      <alignment horizontal="right"/>
    </xf>
    <xf numFmtId="0" fontId="4" fillId="4" borderId="0" xfId="0" applyFont="1" applyFill="1" applyAlignment="1">
      <alignment horizontal="left"/>
    </xf>
    <xf numFmtId="1" fontId="4" fillId="4" borderId="0" xfId="0" applyNumberFormat="1" applyFont="1" applyFill="1"/>
    <xf numFmtId="0" fontId="5" fillId="0" borderId="0" xfId="0" applyFont="1"/>
    <xf numFmtId="0" fontId="6" fillId="3" borderId="2" xfId="0" applyFont="1" applyFill="1" applyBorder="1" applyAlignment="1">
      <alignment horizontal="left" indent="1"/>
    </xf>
    <xf numFmtId="0" fontId="4" fillId="2" borderId="1" xfId="0" applyFont="1" applyFill="1" applyBorder="1"/>
    <xf numFmtId="0" fontId="6" fillId="3" borderId="1" xfId="0" applyFont="1" applyFill="1" applyBorder="1" applyAlignment="1">
      <alignment horizontal="left" indent="1"/>
    </xf>
    <xf numFmtId="0" fontId="4" fillId="2" borderId="1" xfId="0" applyFont="1" applyFill="1" applyBorder="1" applyAlignment="1">
      <alignment horizontal="left"/>
    </xf>
    <xf numFmtId="1" fontId="4" fillId="0" borderId="0" xfId="0" applyNumberFormat="1" applyFont="1"/>
    <xf numFmtId="0" fontId="6" fillId="0" borderId="0" xfId="0" applyFont="1"/>
    <xf numFmtId="9" fontId="4" fillId="0" borderId="0" xfId="1" applyFont="1"/>
    <xf numFmtId="0" fontId="4" fillId="0" borderId="0" xfId="1" applyNumberFormat="1" applyFont="1"/>
    <xf numFmtId="0" fontId="0" fillId="0" borderId="0" xfId="0" applyAlignment="1">
      <alignment wrapText="1"/>
    </xf>
    <xf numFmtId="0" fontId="2" fillId="0" borderId="0" xfId="0" applyFont="1"/>
    <xf numFmtId="9" fontId="0" fillId="0" borderId="0" xfId="1" applyFont="1" applyFill="1"/>
    <xf numFmtId="0" fontId="4" fillId="0" borderId="3" xfId="0" applyFont="1" applyBorder="1" applyAlignment="1">
      <alignment horizontal="center"/>
    </xf>
    <xf numFmtId="0" fontId="4" fillId="0" borderId="3" xfId="0" applyFont="1" applyBorder="1"/>
    <xf numFmtId="0" fontId="4" fillId="4" borderId="3" xfId="0" applyFont="1" applyFill="1" applyBorder="1"/>
    <xf numFmtId="1" fontId="6" fillId="0" borderId="0" xfId="0" applyNumberFormat="1" applyFont="1"/>
    <xf numFmtId="0" fontId="4" fillId="4" borderId="4" xfId="0" applyFont="1" applyFill="1" applyBorder="1"/>
    <xf numFmtId="0" fontId="4" fillId="4" borderId="5" xfId="0" applyFont="1" applyFill="1" applyBorder="1"/>
    <xf numFmtId="0" fontId="4" fillId="4" borderId="0" xfId="0" applyFont="1" applyFill="1" applyAlignment="1">
      <alignment horizontal="center"/>
    </xf>
    <xf numFmtId="0" fontId="7" fillId="0" borderId="0" xfId="0" applyFont="1"/>
    <xf numFmtId="0" fontId="4" fillId="4" borderId="0" xfId="0" applyNumberFormat="1" applyFont="1" applyFill="1" applyAlignment="1">
      <alignment horizontal="left"/>
    </xf>
    <xf numFmtId="0" fontId="4" fillId="4" borderId="0" xfId="0" applyNumberFormat="1" applyFont="1" applyFill="1" applyAlignment="1">
      <alignment horizontal="right"/>
    </xf>
    <xf numFmtId="0" fontId="4" fillId="4" borderId="0" xfId="0" applyNumberFormat="1" applyFont="1" applyFill="1" applyAlignment="1">
      <alignment horizontal="center"/>
    </xf>
    <xf numFmtId="9" fontId="0" fillId="0" borderId="3" xfId="1" applyFont="1" applyBorder="1"/>
    <xf numFmtId="0" fontId="4" fillId="0" borderId="0" xfId="0" applyNumberFormat="1" applyFont="1"/>
    <xf numFmtId="0" fontId="4" fillId="0" borderId="0" xfId="0" applyFont="1" applyAlignment="1">
      <alignment wrapText="1"/>
    </xf>
  </cellXfs>
  <cellStyles count="2">
    <cellStyle name="Normal" xfId="0" builtinId="0"/>
    <cellStyle name="Percent" xfId="1" builtinId="5"/>
  </cellStyles>
  <dxfs count="315">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color theme="0"/>
      </font>
      <fill>
        <patternFill patternType="none">
          <bgColor auto="1"/>
        </patternFill>
      </fill>
    </dxf>
  </dxfs>
  <tableStyles count="0" defaultTableStyle="TableStyleLight8" defaultPivotStyle="PivotStyleLight16"/>
  <colors>
    <mruColors>
      <color rgb="FFD6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Panel'!$E$106</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Panel'!$E$107</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Panel'!$E$108</c:f>
              <c:strCache>
                <c:ptCount val="1"/>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Panel'!$E$109</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ser>
          <c:idx val="1"/>
          <c:order val="1"/>
          <c:spPr>
            <a:no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1-8C3D-4164-9F6B-06C21F59139E}"/>
              </c:ext>
            </c:extLst>
          </c:dPt>
          <c:dLbls>
            <c:dLbl>
              <c:idx val="0"/>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236710712878456"/>
                      <c:h val="6.6198623150481556E-2"/>
                    </c:manualLayout>
                  </c15:layout>
                </c:ext>
                <c:ext xmlns:c16="http://schemas.microsoft.com/office/drawing/2014/chart" uri="{C3380CC4-5D6E-409C-BE32-E72D297353CC}">
                  <c16:uniqueId val="{00000001-8C3D-4164-9F6B-06C21F59139E}"/>
                </c:ext>
              </c:extLst>
            </c:dLbl>
            <c:dLbl>
              <c:idx val="1"/>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974250286667693"/>
                      <c:h val="6.365105636762311E-2"/>
                    </c:manualLayout>
                  </c15:layout>
                </c:ext>
                <c:ext xmlns:c16="http://schemas.microsoft.com/office/drawing/2014/chart" uri="{C3380CC4-5D6E-409C-BE32-E72D297353CC}">
                  <c16:uniqueId val="{00000005-90D5-4322-9A8B-42A61A28CD32}"/>
                </c:ext>
              </c:extLst>
            </c:dLbl>
            <c:dLbl>
              <c:idx val="2"/>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487474167966799"/>
                      <c:h val="4.0722955321897097E-2"/>
                    </c:manualLayout>
                  </c15:layout>
                </c:ext>
                <c:ext xmlns:c16="http://schemas.microsoft.com/office/drawing/2014/chart" uri="{C3380CC4-5D6E-409C-BE32-E72D297353CC}">
                  <c16:uniqueId val="{00000004-65CB-4081-885E-25906B5E122F}"/>
                </c:ext>
              </c:extLst>
            </c:dLbl>
            <c:dLbl>
              <c:idx val="3"/>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1771131597676228"/>
                      <c:h val="4.0722955321897097E-2"/>
                    </c:manualLayout>
                  </c15:layout>
                </c:ext>
                <c:ext xmlns:c16="http://schemas.microsoft.com/office/drawing/2014/chart" uri="{C3380CC4-5D6E-409C-BE32-E72D297353CC}">
                  <c16:uniqueId val="{00000003-65CB-4081-885E-25906B5E122F}"/>
                </c:ext>
              </c:extLst>
            </c:dLbl>
            <c:dLbl>
              <c:idx val="4"/>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802757817266147"/>
                      <c:h val="8.1484023847632231E-2"/>
                    </c:manualLayout>
                  </c15:layout>
                </c:ext>
                <c:ext xmlns:c16="http://schemas.microsoft.com/office/drawing/2014/chart" uri="{C3380CC4-5D6E-409C-BE32-E72D297353CC}">
                  <c16:uniqueId val="{00000004-90D5-4322-9A8B-42A61A28CD32}"/>
                </c:ext>
              </c:extLst>
            </c:dLbl>
            <c:dLbl>
              <c:idx val="5"/>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923537181721911"/>
                      <c:h val="7.3841323499056893E-2"/>
                    </c:manualLayout>
                  </c15:layout>
                </c:ext>
                <c:ext xmlns:c16="http://schemas.microsoft.com/office/drawing/2014/chart" uri="{C3380CC4-5D6E-409C-BE32-E72D297353CC}">
                  <c16:uniqueId val="{00000003-90D5-4322-9A8B-42A61A28CD32}"/>
                </c:ext>
              </c:extLst>
            </c:dLbl>
            <c:dLbl>
              <c:idx val="6"/>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1770202413961216"/>
                      <c:h val="4.3270522104755536E-2"/>
                    </c:manualLayout>
                  </c15:layout>
                </c:ext>
                <c:ext xmlns:c16="http://schemas.microsoft.com/office/drawing/2014/chart" uri="{C3380CC4-5D6E-409C-BE32-E72D297353CC}">
                  <c16:uniqueId val="{00000002-65CB-4081-885E-25906B5E122F}"/>
                </c:ext>
              </c:extLst>
            </c:dLbl>
            <c:dLbl>
              <c:idx val="7"/>
              <c:dLblPos val="inBase"/>
              <c:showLegendKey val="0"/>
              <c:showVal val="0"/>
              <c:showCatName val="1"/>
              <c:showSerName val="0"/>
              <c:showPercent val="0"/>
              <c:showBubbleSize val="0"/>
              <c:extLst>
                <c:ext xmlns:c15="http://schemas.microsoft.com/office/drawing/2012/chart" uri="{CE6537A1-D6FC-4f65-9D91-7224C49458BB}">
                  <c15:layout>
                    <c:manualLayout>
                      <c:w val="0.12770497720160642"/>
                      <c:h val="6.3612742567975403E-2"/>
                    </c:manualLayout>
                  </c15:layout>
                </c:ext>
                <c:ext xmlns:c16="http://schemas.microsoft.com/office/drawing/2014/chart" uri="{C3380CC4-5D6E-409C-BE32-E72D297353CC}">
                  <c16:uniqueId val="{00000002-90D5-4322-9A8B-42A61A28CD32}"/>
                </c:ext>
              </c:extLst>
            </c:dLbl>
            <c:spPr>
              <a:noFill/>
              <a:ln>
                <a:noFill/>
              </a:ln>
              <a:effectLst/>
            </c:spPr>
            <c:txPr>
              <a:bodyPr rot="0" spcFirstLastPara="1" vertOverflow="ellipsis" vert="horz" wrap="square" lIns="38100" tIns="19050" rIns="38100" bIns="19050" anchor="ctr" anchorCtr="0">
                <a:sp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Impacts!$I$74:$I$81</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C3D-4164-9F6B-06C21F59139E}"/>
            </c:ext>
          </c:extLst>
        </c:ser>
        <c:dLbls>
          <c:dLblPos val="outEnd"/>
          <c:showLegendKey val="0"/>
          <c:showVal val="1"/>
          <c:showCatName val="0"/>
          <c:showSerName val="0"/>
          <c:showPercent val="0"/>
          <c:showBubbleSize val="0"/>
        </c:dLbls>
        <c:gapWidth val="90"/>
        <c:overlap val="100"/>
        <c:axId val="762239048"/>
        <c:axId val="762237736"/>
      </c:barChart>
      <c:catAx>
        <c:axId val="762239048"/>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Panel'!$E$110</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Low Income</c:v>
                </c:pt>
                <c:pt idx="1">
                  <c:v>Minority</c:v>
                </c:pt>
                <c:pt idx="2">
                  <c:v>No High School Diploma</c:v>
                </c:pt>
                <c:pt idx="3">
                  <c:v>65 and older</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dLbl>
              <c:idx val="2"/>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0334686112885644"/>
                      <c:h val="0.14476441643103657"/>
                    </c:manualLayout>
                  </c15:layout>
                </c:ext>
                <c:ext xmlns:c16="http://schemas.microsoft.com/office/drawing/2014/chart" uri="{C3380CC4-5D6E-409C-BE32-E72D297353CC}">
                  <c16:uniqueId val="{00000000-9F38-4848-AA71-60E2D3F4EFD2}"/>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Panel'!$E$111</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Rates!$C$92</c:f>
              <c:strCache>
                <c:ptCount val="1"/>
                <c:pt idx="0">
                  <c:v>SV</c:v>
                </c:pt>
              </c:strCache>
            </c:strRef>
          </c:tx>
          <c:spPr>
            <a:ln w="19050" cap="rnd">
              <a:solidFill>
                <a:schemeClr val="accent1"/>
              </a:solidFill>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Rates!$H$92:$X$92</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Rates!$C$93</c:f>
              <c:strCache>
                <c:ptCount val="1"/>
                <c:pt idx="0">
                  <c:v>Ref</c:v>
                </c:pt>
              </c:strCache>
            </c:strRef>
          </c:tx>
          <c:spPr>
            <a:ln w="19050" cap="rnd">
              <a:solidFill>
                <a:schemeClr val="accent2"/>
              </a:solidFill>
              <a:prstDash val="dash"/>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Rates!$H$93:$X$93</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Panel'!$E$112</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Panel'!$E$113</c:f>
              <c:strCache>
                <c:ptCount val="1"/>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Panel'!$E$114</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Rates!$C$98</c:f>
              <c:strCache>
                <c:ptCount val="1"/>
              </c:strCache>
            </c:strRef>
          </c:tx>
          <c:spPr>
            <a:ln w="19050" cap="rnd">
              <a:solidFill>
                <a:schemeClr val="tx1"/>
              </a:solidFill>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Rates!$C$99</c:f>
              <c:strCache>
                <c:ptCount val="1"/>
              </c:strCache>
            </c:strRef>
          </c:tx>
          <c:spPr>
            <a:ln w="19050" cap="rnd">
              <a:solidFill>
                <a:schemeClr val="accent2"/>
              </a:solidFill>
              <a:prstDash val="sysDot"/>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Rates!$C$100</c:f>
              <c:strCache>
                <c:ptCount val="1"/>
              </c:strCache>
            </c:strRef>
          </c:tx>
          <c:spPr>
            <a:ln w="19050" cap="rnd">
              <a:solidFill>
                <a:schemeClr val="accent3"/>
              </a:solidFill>
              <a:prstDash val="sys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Rates!$F$100:$V$100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Rates!$C$101</c:f>
              <c:strCache>
                <c:ptCount val="1"/>
              </c:strCache>
            </c:strRef>
          </c:tx>
          <c:spPr>
            <a:ln w="19050" cap="rnd">
              <a:solidFill>
                <a:schemeClr val="accent1"/>
              </a:solidFill>
              <a:prstDash val="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Rates!$F$101:$V$101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Panel'!$E$116</c:f>
              <c:strCache>
                <c:ptCount val="1"/>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Panel'!$E$117</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Rates!$G$106:$G$113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337463786822705"/>
                      <c:h val="8.062755438613331E-2"/>
                    </c:manualLayout>
                  </c15:layout>
                </c:ext>
                <c:ext xmlns:c16="http://schemas.microsoft.com/office/drawing/2014/chart" uri="{C3380CC4-5D6E-409C-BE32-E72D297353CC}">
                  <c16:uniqueId val="{00000003-81C8-46E2-A89B-E8EA935ED71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109786880073428"/>
                      <c:h val="8.3615415670320797E-2"/>
                    </c:manualLayout>
                  </c15:layout>
                </c:ext>
                <c:ext xmlns:c16="http://schemas.microsoft.com/office/drawing/2014/chart" uri="{C3380CC4-5D6E-409C-BE32-E72D297353CC}">
                  <c16:uniqueId val="{00000002-81C8-46E2-A89B-E8EA935ED717}"/>
                </c:ext>
              </c:extLst>
            </c:dLbl>
            <c:dLbl>
              <c:idx val="2"/>
              <c:dLblPos val="inBase"/>
              <c:showLegendKey val="0"/>
              <c:showVal val="0"/>
              <c:showCatName val="1"/>
              <c:showSerName val="0"/>
              <c:showPercent val="0"/>
              <c:showBubbleSize val="0"/>
              <c:extLst>
                <c:ext xmlns:c15="http://schemas.microsoft.com/office/drawing/2012/chart" uri="{CE6537A1-D6FC-4f65-9D91-7224C49458BB}">
                  <c15:layout>
                    <c:manualLayout>
                      <c:w val="0.14736396753004621"/>
                      <c:h val="4.1785357691695994E-2"/>
                    </c:manualLayout>
                  </c15:layout>
                </c:ext>
                <c:ext xmlns:c16="http://schemas.microsoft.com/office/drawing/2014/chart" uri="{C3380CC4-5D6E-409C-BE32-E72D297353CC}">
                  <c16:uniqueId val="{00000002-76F5-483E-953E-C18CD230031E}"/>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76257063362304"/>
                      <c:h val="3.5809635123321033E-2"/>
                    </c:manualLayout>
                  </c15:layout>
                </c:ext>
                <c:ext xmlns:c16="http://schemas.microsoft.com/office/drawing/2014/chart" uri="{C3380CC4-5D6E-409C-BE32-E72D297353CC}">
                  <c16:uniqueId val="{00000001-76F5-483E-953E-C18CD230031E}"/>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808737056478211"/>
                      <c:h val="7.4651831817758335E-2"/>
                    </c:manualLayout>
                  </c15:layout>
                </c:ext>
                <c:ext xmlns:c16="http://schemas.microsoft.com/office/drawing/2014/chart" uri="{C3380CC4-5D6E-409C-BE32-E72D297353CC}">
                  <c16:uniqueId val="{00000001-81C8-46E2-A89B-E8EA935ED717}"/>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533746378682269"/>
                      <c:h val="3.8797496407508521E-2"/>
                    </c:manualLayout>
                  </c15:layout>
                </c:ext>
                <c:ext xmlns:c16="http://schemas.microsoft.com/office/drawing/2014/chart" uri="{C3380CC4-5D6E-409C-BE32-E72D297353CC}">
                  <c16:uniqueId val="{00000000-76F5-483E-953E-C18CD230031E}"/>
                </c:ext>
              </c:extLst>
            </c:dLbl>
            <c:dLbl>
              <c:idx val="7"/>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6328987752058055"/>
                      <c:h val="8.3570480118723964E-2"/>
                    </c:manualLayout>
                  </c15:layout>
                </c:ext>
                <c:ext xmlns:c16="http://schemas.microsoft.com/office/drawing/2014/chart" uri="{C3380CC4-5D6E-409C-BE32-E72D297353CC}">
                  <c16:uniqueId val="{00000000-81C8-46E2-A89B-E8EA935ED7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Rates!$H$106:$H$113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9817-46B1-8843-9097541C529D}"/>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Panel'!$E$118</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Rates!$H$118:$H$125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5509-485D-959E-63427B9C47A7}"/>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337463786822705"/>
                      <c:h val="8.3381877550330954E-2"/>
                    </c:manualLayout>
                  </c15:layout>
                </c:ext>
                <c:ext xmlns:c16="http://schemas.microsoft.com/office/drawing/2014/chart" uri="{C3380CC4-5D6E-409C-BE32-E72D297353CC}">
                  <c16:uniqueId val="{00000003-D97A-4E65-93E0-E14F2047118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56514069357198"/>
                      <c:h val="9.8279458441262582E-2"/>
                    </c:manualLayout>
                  </c15:layout>
                </c:ext>
                <c:ext xmlns:c16="http://schemas.microsoft.com/office/drawing/2014/chart" uri="{C3380CC4-5D6E-409C-BE32-E72D297353CC}">
                  <c16:uniqueId val="{00000002-D97A-4E65-93E0-E14F20471187}"/>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64710438000172"/>
                      <c:h val="9.5299942263076254E-2"/>
                    </c:manualLayout>
                  </c15:layout>
                </c:ext>
                <c:ext xmlns:c16="http://schemas.microsoft.com/office/drawing/2014/chart" uri="{C3380CC4-5D6E-409C-BE32-E72D297353CC}">
                  <c16:uniqueId val="{00000001-D97A-4E65-93E0-E14F20471187}"/>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990247540372315"/>
                      <c:h val="5.9545748124840321E-2"/>
                    </c:manualLayout>
                  </c15:layout>
                </c:ext>
                <c:ext xmlns:c16="http://schemas.microsoft.com/office/drawing/2014/chart" uri="{C3380CC4-5D6E-409C-BE32-E72D297353CC}">
                  <c16:uniqueId val="{00000000-E1B8-4F81-BBE5-3D40D6254221}"/>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898029429481111"/>
                      <c:h val="8.9340909906703597E-2"/>
                    </c:manualLayout>
                  </c15:layout>
                </c:ext>
                <c:ext xmlns:c16="http://schemas.microsoft.com/office/drawing/2014/chart" uri="{C3380CC4-5D6E-409C-BE32-E72D297353CC}">
                  <c16:uniqueId val="{00000000-D97A-4E65-93E0-E14F20471187}"/>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078392565183717"/>
                      <c:h val="5.3586715768467658E-2"/>
                    </c:manualLayout>
                  </c15:layout>
                </c:ext>
                <c:ext xmlns:c16="http://schemas.microsoft.com/office/drawing/2014/chart" uri="{C3380CC4-5D6E-409C-BE32-E72D297353CC}">
                  <c16:uniqueId val="{00000000-F82A-4E2E-8E39-A16DD1A0C5F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Rates!$I$118:$I$125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1F43-4E44-B15C-502D44B78D9B}"/>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adopts the term “minority” for the sake of consistency with government publications and datasets pertaining to environmental justice and climate change. There are important differences, however, in the social vulnerability of the individual communities that are included under the “minority”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95249</xdr:rowOff>
    </xdr:from>
    <xdr:to>
      <xdr:col>5</xdr:col>
      <xdr:colOff>47625</xdr:colOff>
      <xdr:row>88</xdr:row>
      <xdr:rowOff>11906</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62</xdr:row>
      <xdr:rowOff>83344</xdr:rowOff>
    </xdr:from>
    <xdr:to>
      <xdr:col>10</xdr:col>
      <xdr:colOff>5955</xdr:colOff>
      <xdr:row>88</xdr:row>
      <xdr:rowOff>11906</xdr:rowOff>
    </xdr:to>
    <xdr:graphicFrame macro="">
      <xdr:nvGraphicFramePr>
        <xdr:cNvPr id="7" name="Chart 6">
          <a:extLst>
            <a:ext uri="{FF2B5EF4-FFF2-40B4-BE49-F238E27FC236}">
              <a16:creationId xmlns:a16="http://schemas.microsoft.com/office/drawing/2014/main" id="{B9A9A4AA-A2C0-4CBC-8294-C108719C6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B0392-E68C-432E-836B-7F535B513193}" name="impacts_minorities" displayName="impacts_minorities" comment="Table of impacts by minority group" ref="B119:Z135" totalsRowShown="0" headerRowDxfId="313" dataDxfId="312" tableBorderDxfId="311">
  <autoFilter ref="B119:Z135" xr:uid="{0C5B0392-E68C-432E-836B-7F535B513193}"/>
  <tableColumns count="25">
    <tableColumn id="1" xr3:uid="{C420D73E-7346-4004-ACF3-C4D1AB579DA2}" name="Row" dataDxfId="310">
      <calculatedColumnFormula array="1">ROW(impacts_minorities[[#This Row],[Row]]) - ROW(impacts_minorities[#Headers])</calculatedColumnFormula>
    </tableColumn>
    <tableColumn id="2" xr3:uid="{05A3A7B2-1A12-4A0E-A6A6-55927DEB5A98}" name="Sector" dataDxfId="309">
      <calculatedColumnFormula xml:space="preserve"> mv_sector</calculatedColumnFormula>
    </tableColumn>
    <tableColumn id="3" xr3:uid="{39D9E08D-ADDE-4E55-8A91-92FA6F3853A5}" name="SV Category" dataDxfId="308"/>
    <tableColumn id="4" xr3:uid="{34B3F707-1475-4155-97AA-FA56AD7F5C57}" name="SV Category ID" dataDxfId="307">
      <calculatedColumnFormula xml:space="preserve"> INDEX( SV_Categories[svGroupType], MATCH( impacts_minorities[[#This Row],[SV Category]], SV_Categories[svGroupLabel], 0 ) )</calculatedColumnFormula>
    </tableColumn>
    <tableColumn id="5" xr3:uid="{FC95FB42-A6F7-47F2-84F7-1FE2B8DC43E8}" name="Impact Group" dataDxfId="306">
      <calculatedColumnFormula xml:space="preserve"> IF( impacts_minorities[[#This Row],[Sector]] = "", "", INDEX(co_sectorInfo[popWeightColumn],MATCH(impacts_minorities[[#This Row],[Sector]],co_sectorInfo[sector],0)))</calculatedColumnFormula>
    </tableColumn>
    <tableColumn id="6" xr3:uid="{8381987E-9DF3-45D7-B270-11AC25150F7F}" name="Group Classification" dataDxfId="305"/>
    <tableColumn id="7" xr3:uid="{ECDE1FCD-6092-467C-8B88-EB04DE4134FC}" name="Region" dataDxfId="304">
      <calculatedColumnFormula xml:space="preserve"> IF( ISBLANK( $D$31 ), "", $D$31 )</calculatedColumnFormula>
    </tableColumn>
    <tableColumn id="10" xr3:uid="{5C3BA69B-BAE1-4149-AD02-5487CFBC0827}" name="Emissions Scenario" dataDxfId="303">
      <calculatedColumnFormula xml:space="preserve"> IF( ISBLANK( IF( INT( ( impacts_minorities[[#This Row],[Row]] - 1 ) / n_ethnicities ) + 1 = 1, $D$29, $D$30 ) ), "",
         IF( INT( ( impacts_minorities[[#This Row],[Row]] - 1 ) / n_ethnicities ) + 1 = 1, $D$29, $D$30 ) )</calculatedColumnFormula>
    </tableColumn>
    <tableColumn id="11" xr3:uid="{C8620A98-E8C6-40D7-BDA5-F9AB23C1A837}" name="2010" dataDxfId="302">
      <calculatedColumnFormula array="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2" xr3:uid="{00D8DF13-471B-4777-ADD4-FD7C079E5D3E}" name="2015" dataDxfId="301">
      <calculatedColumnFormula array="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3" xr3:uid="{45709030-2E41-45D8-AB0E-95089B51509C}" name="2020" dataDxfId="300">
      <calculatedColumnFormula array="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4" xr3:uid="{2800F78B-A136-4422-BA33-76D8D7B5F673}" name="2025" dataDxfId="299">
      <calculatedColumnFormula array="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5" xr3:uid="{54C3DCFC-71A2-4E91-82B4-615F04FF51D4}" name="2030" dataDxfId="298">
      <calculatedColumnFormula array="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6" xr3:uid="{2BD27D01-92EC-4711-8598-BADFB14754FC}" name="2035" dataDxfId="297">
      <calculatedColumnFormula array="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7" xr3:uid="{CB76D7A6-8240-47EA-BFD9-87E56DAF9E9A}" name="2040" dataDxfId="296">
      <calculatedColumnFormula array="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8" xr3:uid="{AFE35B91-A1B5-4894-BDCF-ABA829CA150F}" name="2045" dataDxfId="295">
      <calculatedColumnFormula array="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9" xr3:uid="{F4E10DEB-876F-4846-BDAF-71111C391D64}" name="2050" dataDxfId="294">
      <calculatedColumnFormula array="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0" xr3:uid="{FC252E2F-8BC8-4A10-BBB0-AAE9C66A24D8}" name="2055" dataDxfId="293">
      <calculatedColumnFormula array="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1" xr3:uid="{EDE3EE41-1C15-4F7D-963D-8AF202BE649E}" name="2060" dataDxfId="292">
      <calculatedColumnFormula array="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2" xr3:uid="{5053CB38-2FF8-4924-9D33-8C58343F80D1}" name="2065" dataDxfId="291">
      <calculatedColumnFormula array="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3" xr3:uid="{98068458-236F-46A3-B0C7-E5CC38A71F81}" name="2070" dataDxfId="290">
      <calculatedColumnFormula array="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4" xr3:uid="{4F4D59E7-F41E-4826-AD49-6E60BACB3811}" name="2075" dataDxfId="289">
      <calculatedColumnFormula array="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5" xr3:uid="{EA722B59-E3A5-4803-A82B-F18487E5B2B0}" name="2080" dataDxfId="288">
      <calculatedColumnFormula array="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6" xr3:uid="{FA356370-0DDA-41ED-B0C3-705D0CD2E020}" name="2085" dataDxfId="287">
      <calculatedColumnFormula array="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7" xr3:uid="{5A1BE2B1-3BA6-4786-9D66-4FAF5623F1F7}" name="2090" dataDxfId="286">
      <calculatedColumnFormula array="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7492E94-732D-4B63-AB16-63BA9BD43940}" name="impacts_peopleByYear" displayName="impacts_peopleByYear" ref="B73:J81" totalsRowShown="0" headerRowDxfId="285" dataDxfId="284">
  <autoFilter ref="B73:J81" xr:uid="{67492E94-732D-4B63-AB16-63BA9BD43940}"/>
  <tableColumns count="9">
    <tableColumn id="1" xr3:uid="{2CC26921-0D3B-44FF-B88B-C1E683FC8F4C}" name="Row" dataDxfId="283">
      <calculatedColumnFormula array="1" xml:space="preserve"> ROW( impacts_peopleByYear[[#This Row],[Row]] ) - ROW( impacts_peopleByYear[#Headers] )</calculatedColumnFormula>
    </tableColumn>
    <tableColumn id="2" xr3:uid="{E5607CB5-6729-47E3-8919-6E1E970DB707}" name="SV Group" dataDxfId="282"/>
    <tableColumn id="23" xr3:uid="{33864F62-BF2A-4C09-B4E6-15952A62EAE4}" name="Reference Scenario" dataDxfId="281">
      <calculatedColumnFormula xml:space="preserve"> IF( ISBLANK( $D$29 ), "", $D$29 )</calculatedColumnFormula>
    </tableColumn>
    <tableColumn id="22" xr3:uid="{CC9C1A69-873C-4D96-8E16-5C336F72EB4D}" name="Scenario to Compare" dataDxfId="280">
      <calculatedColumnFormula xml:space="preserve"> IF( ISBLANK( $D$30 ), "", $D$30 )</calculatedColumnFormula>
    </tableColumn>
    <tableColumn id="3" xr3:uid="{FCB6107D-1166-431A-A950-D51F2BF2A248}" name="Region" dataDxfId="279">
      <calculatedColumnFormula xml:space="preserve"> IF( ISBLANK( $D$31 ), "", $D$31 )</calculatedColumnFormula>
    </tableColumn>
    <tableColumn id="4" xr3:uid="{8DB7A873-7909-44D6-BB4D-AD6FC42F8CAC}" name="Year" dataDxfId="278">
      <calculatedColumnFormula xml:space="preserve"> IF( ISBLANK( $D$32 ), "", $D$32 )</calculatedColumnFormula>
    </tableColumn>
    <tableColumn id="21" xr3:uid="{D831C91D-8884-4156-AB39-A0D694DE362C}" name="Difference" dataDxfId="277">
      <calculatedColumnFormula array="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calculatedColumnFormula>
    </tableColumn>
    <tableColumn id="5" xr3:uid="{08CB6887-8B7C-4D5C-BBA5-E3117808FD14}" name="Format" dataDxfId="276">
      <calculatedColumnFormula xml:space="preserve"> IF( OR( impacts_peopleByYear[[#This Row],[Reference Scenario]] = "", impacts_peopleByYear[[#This Row],[Region]] = "", impacts_peopleByYear[[#This Row],[Year]] = "" ), "",IF(impacts_peopleByYear[[#This Row],[Difference]]&gt;=0,-0.1,0.1) )</calculatedColumnFormula>
    </tableColumn>
    <tableColumn id="6" xr3:uid="{442EC123-5B95-4A43-87F3-B4A28206C2C4}" name="Formatted Label" dataDxfId="275"/>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826228-0D62-4BCD-8A04-27B79D14174B}" name="impacts_svGroups" displayName="impacts_svGroups" comment="Impacts by SV groups and year" ref="B84:Z116" totalsRowShown="0" headerRowDxfId="274" dataDxfId="273">
  <autoFilter ref="B84:Z116" xr:uid="{A83721E4-D513-42BC-961B-AD4829922123}"/>
  <tableColumns count="25">
    <tableColumn id="1" xr3:uid="{4FB64A0E-0F6F-494F-996E-C1EFCC6677A6}" name="Row" dataDxfId="272">
      <calculatedColumnFormula array="1">ROW(impacts_svGroups[[#This Row],[Row]]) - ROW(impacts_svGroups[#Headers])</calculatedColumnFormula>
    </tableColumn>
    <tableColumn id="2" xr3:uid="{0064CC34-55A8-43FD-9341-ECCD2677E254}" name="Sector" dataDxfId="271">
      <calculatedColumnFormula xml:space="preserve"> mv_sector</calculatedColumnFormula>
    </tableColumn>
    <tableColumn id="3" xr3:uid="{1446B3FB-2870-4CEE-BE3E-95DB69CF693D}" name="SV Category" dataDxfId="270"/>
    <tableColumn id="28" xr3:uid="{DE245267-148C-44D9-A858-96ADBF5F43EE}" name="SV Category ID" dataDxfId="269">
      <calculatedColumnFormula>INDEX(SV_Categories[svGroupType],MATCH(impacts_svGroups[[#This Row],[SV Category]],SV_Categories[svGroupLabel],0))</calculatedColumnFormula>
    </tableColumn>
    <tableColumn id="4" xr3:uid="{40998FFC-4497-4875-882C-14A118FB9CB7}" name="Impact Group" dataDxfId="268">
      <calculatedColumnFormula array="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calculatedColumnFormula>
    </tableColumn>
    <tableColumn id="5" xr3:uid="{50B6EBBC-DEC7-4C4A-B858-8C58F2480EAD}" name="Group Classification" dataDxfId="267"/>
    <tableColumn id="8" xr3:uid="{1BC8E217-BC3A-4AEC-838B-B5DFD99A74BA}" name="Region" dataDxfId="266">
      <calculatedColumnFormula xml:space="preserve"> IF( ISBLANK( $D$4 ), "", $D$4 )</calculatedColumnFormula>
    </tableColumn>
    <tableColumn id="7" xr3:uid="{9920AFD6-7BF4-43F3-AC25-0E12136ED1F8}" name="Emissions Scenario" dataDxfId="265">
      <calculatedColumnFormula array="1" xml:space="preserve"> INDEX( list_scenarios, MOD( impacts_svGroups[[#This Row],[Row]] - 1, n_scenarios ) + 1 )</calculatedColumnFormula>
    </tableColumn>
    <tableColumn id="9" xr3:uid="{62DC8BD2-A336-4359-BE18-D3F586E5D3FB}" name="2010" dataDxfId="26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6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6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6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6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5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5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57">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56">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55">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5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5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5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5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5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4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4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46E510-0A1E-4CB0-ADC7-E4299E8B76AD}" name="impacts_byYear" displayName="impacts_byYear" ref="B66:W70" totalsRowShown="0" headerRowDxfId="247" dataDxfId="246" dataCellStyle="Percent">
  <autoFilter ref="B66:W70" xr:uid="{1446E510-0A1E-4CB0-ADC7-E4299E8B76AD}"/>
  <tableColumns count="22">
    <tableColumn id="1" xr3:uid="{14237D04-2048-4931-B212-9905071CA02E}" name="Row" dataDxfId="245">
      <calculatedColumnFormula array="1">ROW(impacts_byYear[[#This Row],[Row]]) - ROW(impacts_byYear[#Headers])</calculatedColumnFormula>
    </tableColumn>
    <tableColumn id="21" xr3:uid="{A2719EDC-0594-43B7-B93F-BB02D1F16A76}" name="SV Group" dataDxfId="244">
      <calculatedColumnFormula xml:space="preserve"> IF( ISBLANK( $D$2 ), "All", $D$2 )</calculatedColumnFormula>
    </tableColumn>
    <tableColumn id="20" xr3:uid="{73E2E8C8-0CDD-4C71-8269-6B2FFBB46525}" name="Region" dataDxfId="243">
      <calculatedColumnFormula xml:space="preserve"> IF( ISBLANK( $D$4 ), "", $D$4 )</calculatedColumnFormula>
    </tableColumn>
    <tableColumn id="22" xr3:uid="{08F3261A-78CE-41FC-9EFD-7ACE7932C5AF}" name="Reference Scenario" dataDxfId="242">
      <calculatedColumnFormula xml:space="preserve"> IF( ISBLANK( $D$3 ), "", $D$3 )</calculatedColumnFormula>
    </tableColumn>
    <tableColumn id="2" xr3:uid="{AC36A4B0-5BA8-4AA4-83C0-F103643D2A5F}" name="Scenario to Compare" dataDxfId="241">
      <calculatedColumnFormula>'Control Panel'!$C36</calculatedColumnFormula>
    </tableColumn>
    <tableColumn id="3" xr3:uid="{D8864E86-C94B-48EC-A962-D348347D89D9}" name="2010" dataDxfId="240" dataCellStyle="Percent">
      <calculatedColumnFormula array="1"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39" dataCellStyle="Percent">
      <calculatedColumnFormula array="1"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38" dataCellStyle="Percent">
      <calculatedColumnFormula array="1"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37" dataCellStyle="Percent">
      <calculatedColumnFormula array="1"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36" dataCellStyle="Percent">
      <calculatedColumnFormula array="1"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35" dataCellStyle="Percent">
      <calculatedColumnFormula array="1"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34" dataCellStyle="Percent">
      <calculatedColumnFormula array="1"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33" dataCellStyle="Percent">
      <calculatedColumnFormula array="1"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32" dataCellStyle="Percent">
      <calculatedColumnFormula array="1"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31" dataCellStyle="Percent">
      <calculatedColumnFormula array="1"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30" dataCellStyle="Percent">
      <calculatedColumnFormula array="1"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29" dataCellStyle="Percent">
      <calculatedColumnFormula array="1"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28" dataCellStyle="Percent">
      <calculatedColumnFormula array="1"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27" dataCellStyle="Percent">
      <calculatedColumnFormula array="1"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26" dataCellStyle="Percent">
      <calculatedColumnFormula array="1"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25" dataCellStyle="Percent">
      <calculatedColumnFormula array="1"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24" dataCellStyle="Percent">
      <calculatedColumnFormula array="1"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23">
      <calculatedColumnFormula array="1">ROW(risk_mainTable[[#This Row],[Row]]) - ROW(risk_mainTable[#Headers])</calculatedColumnFormula>
    </tableColumn>
    <tableColumn id="2" xr3:uid="{3846784C-553D-4ED9-9838-DCF55C2DC63C}" name="Sector" dataDxfId="222">
      <calculatedColumnFormula xml:space="preserve"> mv_sector</calculatedColumnFormula>
    </tableColumn>
    <tableColumn id="3" xr3:uid="{403A9C91-4584-4832-9C0E-02567F3FDBCE}" name="SV Category" dataDxfId="221"/>
    <tableColumn id="28" xr3:uid="{0DCC3D63-D97B-4D92-805E-672107E2FEA8}" name="SV Category ID" dataDxfId="220">
      <calculatedColumnFormula>INDEX(SV_Categories[svGroupType],MATCH(risk_mainTable[[#This Row],[SV Category]],SV_Categories[svGroupLabel],0))</calculatedColumnFormula>
    </tableColumn>
    <tableColumn id="4" xr3:uid="{C2DC810D-3509-41EE-B3E3-414ED0AD640D}" name="Impact Group" dataDxfId="219">
      <calculatedColumnFormula array="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calculatedColumnFormula>
    </tableColumn>
    <tableColumn id="5" xr3:uid="{86E637CF-19CD-49EB-A2B1-840A9138F780}" name="Group Classification" dataDxfId="218"/>
    <tableColumn id="8" xr3:uid="{A1DCA94A-24E2-4CC8-8A5F-E26BCD5B1C63}" name="Region" dataDxfId="217">
      <calculatedColumnFormula xml:space="preserve"> IF( ISBLANK( $D$3 ), "", $D$3 )</calculatedColumnFormula>
    </tableColumn>
    <tableColumn id="6" xr3:uid="{0B3806DE-E9CD-44C4-9DBA-B5C8A3B4790B}" name="Impact Unit" dataDxfId="216">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215"/>
    <tableColumn id="9" xr3:uid="{D377421F-EE0E-4833-9FFB-4AB74EA50E0E}" name="2010" dataDxfId="214"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calculatedColumnFormula>
    </tableColumn>
    <tableColumn id="10" xr3:uid="{19E24941-9C09-4CCB-8FC1-260DD24B17D3}" name="2015" dataDxfId="213"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calculatedColumnFormula>
    </tableColumn>
    <tableColumn id="11" xr3:uid="{BD7F9734-125D-4294-841D-84DBD4E44098}" name="2020" dataDxfId="212"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calculatedColumnFormula>
    </tableColumn>
    <tableColumn id="12" xr3:uid="{E9CDDF74-BC5B-46A9-B02C-F5DC9E5D720D}" name="2025" dataDxfId="211"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calculatedColumnFormula>
    </tableColumn>
    <tableColumn id="13" xr3:uid="{09857D10-7C09-43D2-8D34-8AFC2555C049}" name="2030" dataDxfId="210"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calculatedColumnFormula>
    </tableColumn>
    <tableColumn id="14" xr3:uid="{6F29AD53-0797-4DD0-99A6-30B37A548DD2}" name="2035" dataDxfId="209"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calculatedColumnFormula>
    </tableColumn>
    <tableColumn id="15" xr3:uid="{EC16DEC0-26BF-4434-A598-DDD140055256}" name="2040" dataDxfId="208"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calculatedColumnFormula>
    </tableColumn>
    <tableColumn id="16" xr3:uid="{81FD12AD-8DF0-4325-ACC9-1BD48FF59CD9}" name="2045" dataDxfId="207"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calculatedColumnFormula>
    </tableColumn>
    <tableColumn id="17" xr3:uid="{3C64B2B1-39AB-4835-AC33-6B6309648DF7}" name="2050" dataDxfId="206"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calculatedColumnFormula>
    </tableColumn>
    <tableColumn id="18" xr3:uid="{4DDBCC26-5651-4127-93D9-63CD4807E2B9}" name="2055" dataDxfId="205"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calculatedColumnFormula>
    </tableColumn>
    <tableColumn id="19" xr3:uid="{8043EA3F-221A-4960-941B-69527C073CDC}" name="2060" dataDxfId="204"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calculatedColumnFormula>
    </tableColumn>
    <tableColumn id="20" xr3:uid="{20F2066D-E0CC-4BD2-B371-1574B04232B1}" name="2065" dataDxfId="203"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calculatedColumnFormula>
    </tableColumn>
    <tableColumn id="21" xr3:uid="{C916C216-789B-4461-8CA4-C2BD2A0E0114}" name="2070" dataDxfId="202"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calculatedColumnFormula>
    </tableColumn>
    <tableColumn id="22" xr3:uid="{C2334311-BE82-4ED4-8731-1D49BE9429E4}" name="2075" dataDxfId="201"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calculatedColumnFormula>
    </tableColumn>
    <tableColumn id="23" xr3:uid="{EFEE666A-F035-491F-967B-1301F51ED3C4}" name="2080" dataDxfId="200"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calculatedColumnFormula>
    </tableColumn>
    <tableColumn id="24" xr3:uid="{6F67BAFC-DA7D-469D-BE5F-707B09FDAE6F}" name="2085" dataDxfId="199"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calculatedColumnFormula>
    </tableColumn>
    <tableColumn id="25" xr3:uid="{0E4D0DE3-6C72-4254-A458-C02C37662589}" name="2090" dataDxfId="198"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F7AEC12-7A1A-48D6-8438-21A86D52CF23}" name="risk_table1" displayName="risk_table1" ref="B28:H32" totalsRowShown="0" headerRowDxfId="197" dataDxfId="196" dataCellStyle="Percent">
  <autoFilter ref="B28:H32" xr:uid="{CF7AEC12-7A1A-48D6-8438-21A86D52CF23}"/>
  <tableColumns count="7">
    <tableColumn id="1" xr3:uid="{E107E0DF-246F-481C-8399-535769853AF1}" name="Row" dataDxfId="195">
      <calculatedColumnFormula xml:space="preserve"> ROW( risk_table1[[#This Row],[Row]] ) - ROW( risk_table1[[#Headers],[Row]] )</calculatedColumnFormula>
    </tableColumn>
    <tableColumn id="2" xr3:uid="{1DF409F1-D03F-4B50-AA45-39B225561542}" name="SV Group" dataDxfId="194"/>
    <tableColumn id="22" xr3:uid="{C3B37D64-FE74-4B86-8986-B0BE8F2C5381}" name="Reference Scenario" dataDxfId="193" dataCellStyle="Percent">
      <calculatedColumnFormula xml:space="preserve"> IF( ISBLANK( $D$2 ), "", $D$2 )</calculatedColumnFormula>
    </tableColumn>
    <tableColumn id="20" xr3:uid="{387E6812-9CA7-407C-A642-F80A87D9E737}" name="Region" dataDxfId="192" dataCellStyle="Percent">
      <calculatedColumnFormula xml:space="preserve"> IF( ISBLANK( $D$3 ), "", $D$3 )</calculatedColumnFormula>
    </tableColumn>
    <tableColumn id="21" xr3:uid="{7A7BD494-9E1C-4FD8-858A-0DDDC4BE262B}" name="Year" dataDxfId="191" dataCellStyle="Percent">
      <calculatedColumnFormula xml:space="preserve"> IF( ISBLANK( $D$4 ), "", $D$4 )</calculatedColumnFormula>
    </tableColumn>
    <tableColumn id="5" xr3:uid="{47830F64-704C-4B74-803A-02A747292A77}" name="Value" dataDxfId="190" dataCellStyle="Percent">
      <calculatedColumnFormula array="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calculatedColumnFormula>
    </tableColumn>
    <tableColumn id="4" xr3:uid="{0F7E329C-B17B-413A-BF3D-27083775B8C1}" name="Format" dataDxfId="189"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3D68350-6454-43EB-8907-66AAF92442FC}" name="Table20" displayName="Table20" ref="B91:X93" totalsRowShown="0" headerRowDxfId="188" dataDxfId="187">
  <autoFilter ref="B91:X93" xr:uid="{73D68350-6454-43EB-8907-66AAF92442FC}"/>
  <tableColumns count="23">
    <tableColumn id="1" xr3:uid="{5F89CE34-10BA-4E66-A36A-B5D076F1E4CF}" name="Row" dataDxfId="186">
      <calculatedColumnFormula array="1">ROW(Table20[[#This Row],[Row]]) - ROW(Table20[#Headers])</calculatedColumnFormula>
    </tableColumn>
    <tableColumn id="2" xr3:uid="{30441E34-D05F-44E3-9654-6F7EEF62A4E5}" name="Type" dataDxfId="185"/>
    <tableColumn id="20" xr3:uid="{F1246310-459F-47BE-86BC-2265C2B86B6D}" name="Reference Emissions Scenario" dataDxfId="184">
      <calculatedColumnFormula>IF(ISBLANK($D$3),"",$D$3)</calculatedColumnFormula>
    </tableColumn>
    <tableColumn id="21" xr3:uid="{78AD2B7D-3DB7-4B5B-B105-C7DD4384838E}" name="Scenario to Compare" dataDxfId="183">
      <calculatedColumnFormula xml:space="preserve"> IF( ISBLANK( $D$4 ), "", $D$4 )</calculatedColumnFormula>
    </tableColumn>
    <tableColumn id="23" xr3:uid="{ECC016C8-2D0F-44DA-A4E6-A1C7682C3B3C}" name="SV Group" dataDxfId="182">
      <calculatedColumnFormula xml:space="preserve"> IF( ISBLANK( $D$2 ), "", $D$2 )</calculatedColumnFormula>
    </tableColumn>
    <tableColumn id="22" xr3:uid="{673F8EE2-C4CC-48EA-B810-18DA257A6AC7}" name="Region" dataDxfId="181">
      <calculatedColumnFormula xml:space="preserve"> IF( ISBLANK( $D$5 ), "", $D$5 )</calculatedColumnFormula>
    </tableColumn>
    <tableColumn id="3" xr3:uid="{3E0BA8AF-6B6A-428A-A3CA-385227143D67}" name="2010" dataDxfId="18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4" xr3:uid="{7C47EE50-E685-4C54-9CF3-7033DC735234}" name="2015" dataDxfId="17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5" xr3:uid="{6B632A41-FD3B-4FA7-AB0D-E82016FB50D2}" name="2020" dataDxfId="178">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6" xr3:uid="{BC5ADA88-071A-4D47-B11F-A573AF6F6C4D}" name="2025" dataDxfId="17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7" xr3:uid="{3B93B2E4-5967-43C9-97ED-1D5C6E3FF80C}" name="2030" dataDxfId="17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8" xr3:uid="{7305282E-7ACB-469B-8DC8-A80E996CC840}" name="2035" dataDxfId="17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9" xr3:uid="{CCD74C4D-4460-46D7-82A6-46A36C6ECE5E}" name="2040" dataDxfId="17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0" xr3:uid="{96B2DB0B-CC3C-4916-8E47-3C723DC22FD9}" name="2045" dataDxfId="173">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1" xr3:uid="{6A3FE711-B2CE-4199-AE80-D80AF02858E3}" name="2050" dataDxfId="172">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2" xr3:uid="{86EBE9CE-4B9A-4A80-BF3E-6861CE2A2E70}" name="2055" dataDxfId="171">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3" xr3:uid="{D4068617-8ED7-438F-8067-29620D8BBC95}" name="2060" dataDxfId="17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4" xr3:uid="{C8731EDB-E4EC-45DD-8A53-2E4786EC2309}" name="2065" dataDxfId="16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5" xr3:uid="{ED194464-D8A0-4138-9026-83E7439950A8}" name="2070" dataDxfId="168">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6" xr3:uid="{DC5E750A-A7CC-41F7-A2D6-26AFEBCF4AE6}" name="2075" dataDxfId="16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7" xr3:uid="{7C57F2A5-F000-4809-9E7F-57E973F49F0F}" name="2080" dataDxfId="16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8" xr3:uid="{AD33D751-E8ED-45B4-BDDF-F6A03EC93D92}" name="2085" dataDxfId="16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9" xr3:uid="{BDA778BC-F50F-42B7-9678-42AD408B14FA}" name="2090" dataDxfId="16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3016335-D104-4E8E-AC8A-242936CAE7CE}" name="Table21" displayName="Table21" ref="B97:V101" totalsRowShown="0" headerRowDxfId="163" dataDxfId="162">
  <autoFilter ref="B97:V101" xr:uid="{93016335-D104-4E8E-AC8A-242936CAE7CE}"/>
  <tableColumns count="21">
    <tableColumn id="1" xr3:uid="{2F25D537-6BA9-4B66-AE0D-C6F8A43993CA}" name="Row" dataDxfId="161">
      <calculatedColumnFormula array="1">ROW(Table21[[#This Row],[Row]]) - ROW(Table21[#Headers])</calculatedColumnFormula>
    </tableColumn>
    <tableColumn id="2" xr3:uid="{868FA9B4-A0AF-42F9-BCB5-9E1A16D828C6}" name="Emissions Scenario" dataDxfId="160">
      <calculatedColumnFormula array="1" xml:space="preserve"> INDEX( list_scenarios, Table21[[#This Row],[Row]] )</calculatedColumnFormula>
    </tableColumn>
    <tableColumn id="20" xr3:uid="{E9190B45-DBA9-4B7E-B4EC-96E5AFEA04A7}" name="SV Group" dataDxfId="159">
      <calculatedColumnFormula xml:space="preserve"> IF( ISBLANK( $D$32 ), "All", $D$32 )</calculatedColumnFormula>
    </tableColumn>
    <tableColumn id="21" xr3:uid="{92CC501F-2FEA-42AF-964E-BC01557C62F6}" name="Region" dataDxfId="158">
      <calculatedColumnFormula xml:space="preserve"> IF( ISBLANK( $D$33 ), "", $D$33 )</calculatedColumnFormula>
    </tableColumn>
    <tableColumn id="3" xr3:uid="{72CA109E-B90C-494C-88C1-0F5356491E38}" name="2010" dataDxfId="157">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4" xr3:uid="{4871EA4B-6B12-42D4-BF4E-56CFD8EAD147}" name="2015" dataDxfId="15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5" xr3:uid="{95A3641A-491E-43FA-83D9-C4EBABE3CCF2}" name="2020" dataDxfId="155">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6" xr3:uid="{89962152-095B-4B80-8387-791689781430}" name="2025" dataDxfId="15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7" xr3:uid="{F303805A-CBDA-4160-8A3A-942764D2B958}" name="2030" dataDxfId="15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8" xr3:uid="{CE24384E-D7C7-4366-9C0B-87F92A381C49}" name="2035" dataDxfId="15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9" xr3:uid="{43D096A9-AC97-472C-863E-D288FFE4EBFF}" name="2040" dataDxfId="15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0" xr3:uid="{CBC0C8C2-B3AF-48A9-9DAE-AB91094CE88E}" name="2045" dataDxfId="150">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1" xr3:uid="{ABB71AEB-BB9F-4CAD-82F6-27DA90D03304}" name="2050" dataDxfId="149">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2" xr3:uid="{A30C6783-C06D-42C2-A89E-0426D01161D7}" name="2055" dataDxfId="148">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3" xr3:uid="{E6BA0994-52AB-4247-B29C-4D9A1CE884BB}" name="2060" dataDxfId="147">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4" xr3:uid="{8F561AD4-B1A7-4844-BE33-1E1758366CBE}" name="2065" dataDxfId="14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5" xr3:uid="{19B356C0-78C9-4F0B-865D-0780C8D42D52}" name="2070" dataDxfId="145">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6" xr3:uid="{D659A047-1EFE-4001-911F-FB70576CECE9}" name="2075" dataDxfId="14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7" xr3:uid="{5ABB18D1-1FC4-4FD0-AAE1-EECC1B4D9244}" name="2080" dataDxfId="14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8" xr3:uid="{F6623C4D-94F5-4776-BA46-6FEE70B281BD}" name="2085" dataDxfId="14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9" xr3:uid="{29A34BCD-B794-4EA6-829B-5CD11918DD51}" name="2090" dataDxfId="14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86FB9D-9FAB-4EB2-8D0F-C5EFD4D3FDF0}" name="Table6" displayName="Table6" ref="B105:I113" totalsRowShown="0" headerRowDxfId="140" dataDxfId="139">
  <autoFilter ref="B105:I113" xr:uid="{1E86FB9D-9FAB-4EB2-8D0F-C5EFD4D3FDF0}"/>
  <tableColumns count="8">
    <tableColumn id="1" xr3:uid="{7C1CBFCA-CB3F-454F-8036-AC575CE791C4}" name="Row" dataDxfId="138">
      <calculatedColumnFormula array="1">ROW(Table6[[#This Row],[Row]]) - ROW(Table6[#Headers])</calculatedColumnFormula>
    </tableColumn>
    <tableColumn id="2" xr3:uid="{13550D3A-E629-4245-BB59-744B2A6BAE17}" name="Scenario" dataDxfId="137">
      <calculatedColumnFormula>IF( ISBLANK( $D$59 ), "", $D$59 )</calculatedColumnFormula>
    </tableColumn>
    <tableColumn id="3" xr3:uid="{1432EFBE-5B90-4F09-8CB0-04E141ED4939}" name="SV Group" dataDxfId="136"/>
    <tableColumn id="4" xr3:uid="{7C294C6C-AB15-4269-9EF3-D9B297B61C6F}" name="Region" dataDxfId="135">
      <calculatedColumnFormula xml:space="preserve"> IF( ISBLANK( $D$60 ), "", $D$60 )</calculatedColumnFormula>
    </tableColumn>
    <tableColumn id="5" xr3:uid="{FED04B61-68E3-440D-BC4E-E9396EBDB16A}" name="Year" dataDxfId="134">
      <calculatedColumnFormula xml:space="preserve"> IF( ISBLANK( $D$61 ), "", $D$61 )</calculatedColumnFormula>
    </tableColumn>
    <tableColumn id="6" xr3:uid="{0F06DC7A-926C-4306-A6D1-C4FC08599B97}" name="Value" dataDxfId="133">
      <calculatedColumnFormula array="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 id="7" xr3:uid="{65B3BF16-CF50-42F0-B381-23CDBE86A7A4}" name="Format" dataDxfId="132">
      <calculatedColumnFormula xml:space="preserve"> IF( OR( Table6[[#This Row],[Scenario]] = "", Table6[[#This Row],[Region]] = "", Table6[[#This Row],[Year]] = "" ), "",IF(Table6[[#This Row],[Value]]&gt;=0,-0.1,0.1) )</calculatedColumnFormula>
    </tableColumn>
    <tableColumn id="8" xr3:uid="{1726DAE1-D3CC-4B11-979B-C66253F77D48}" name="Formatted Label" dataDxfId="131"/>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BC3F05FF-FC9E-4F58-9DFC-E4CA03F4803B}" name="Table62627" displayName="Table62627" ref="B117:J125" totalsRowShown="0" headerRowDxfId="130" dataDxfId="129">
  <autoFilter ref="B117:J125" xr:uid="{BC3F05FF-FC9E-4F58-9DFC-E4CA03F4803B}"/>
  <tableColumns count="9">
    <tableColumn id="1" xr3:uid="{8806403C-17B2-49B6-AA2F-D88F116FC4C6}" name="Row" dataDxfId="128">
      <calculatedColumnFormula array="1">ROW(Table62627[[#This Row],[Row]]) - ROW(Table62627[#Headers])</calculatedColumnFormula>
    </tableColumn>
    <tableColumn id="2" xr3:uid="{E6CECB22-2379-4EEE-BDEE-C8813D812D39}" name="Reference Emissions Scenario" dataDxfId="127">
      <calculatedColumnFormula>IF( ISBLANK( $H$59 ), "", $H$59 )</calculatedColumnFormula>
    </tableColumn>
    <tableColumn id="7" xr3:uid="{A03D0CC0-82F7-4C85-820B-3AC7A37DCFF0}" name="Scenario to Compare" dataDxfId="126">
      <calculatedColumnFormula>IF( ISBLANK( $H$60 ), "", $H$60 )</calculatedColumnFormula>
    </tableColumn>
    <tableColumn id="3" xr3:uid="{174960FC-6852-4382-BCD8-0AC6F75FF1ED}" name="SV Group" dataDxfId="125"/>
    <tableColumn id="4" xr3:uid="{909EE0CC-893E-4676-9130-2A8C67C89B57}" name="Region" dataDxfId="124">
      <calculatedColumnFormula xml:space="preserve"> IF( ISBLANK( $H$61 ), "", $H$61 )</calculatedColumnFormula>
    </tableColumn>
    <tableColumn id="5" xr3:uid="{E36E4C01-1517-4C4A-8689-4336109D778B}" name="Year" dataDxfId="123">
      <calculatedColumnFormula xml:space="preserve"> IF( ISBLANK( $H$62 ), "", $H$62 )</calculatedColumnFormula>
    </tableColumn>
    <tableColumn id="6" xr3:uid="{C6234E6D-2843-4CB3-BCC0-DE1C02F8D0E7}" name="Value" dataDxfId="122">
      <calculatedColumnFormula array="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calculatedColumnFormula>
    </tableColumn>
    <tableColumn id="8" xr3:uid="{81906C22-2229-475B-A8B2-B8CE36890B75}" name="Format" dataDxfId="121">
      <calculatedColumnFormula xml:space="preserve"> IF( OR(Table62627[[#This Row],[Reference Emissions Scenario]]="", Table62627[[#This Row],[Scenario to Compare]] = "", Table62627[[#This Row],[Region]] = "", Table62627[[#This Row],[Year]] = "" ), "",IF(Table62627[[#This Row],[Value]]&gt;=0,-0.1,0.1) )</calculatedColumnFormula>
    </tableColumn>
    <tableColumn id="9" xr3:uid="{5934549C-109D-48BF-99CE-19A962F3AF54}" name="Formatted Label" dataDxfId="120"/>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37EF9-DEBF-4E42-B72B-A7D5FA12D177}" name="outputs1" displayName="outputs1" comment="Main FrEDI SV Module outputs" ref="A1:Q12769" totalsRowShown="0" dataDxfId="119">
  <autoFilter ref="A1:Q12769" xr:uid="{29837EF9-DEBF-4E42-B72B-A7D5FA12D177}"/>
  <tableColumns count="17">
    <tableColumn id="1" xr3:uid="{FE1120F0-4A30-45F0-8919-D3A908327762}" name="region" dataDxfId="118"/>
    <tableColumn id="2" xr3:uid="{E9E7F3C0-BB60-491C-A9C7-58D7C40F73B1}" name="svGroupType" dataDxfId="117"/>
    <tableColumn id="3" xr3:uid="{057894FA-63EC-4679-8BEC-E36233B6BE08}" name="driverUnit" dataDxfId="116"/>
    <tableColumn id="18" xr3:uid="{47DF89E9-241C-4566-B892-0195902F1B22}" name="driverValue" dataDxfId="115"/>
    <tableColumn id="4" xr3:uid="{9C82385E-D818-43E1-9C95-8692B8DE225D}" name="year" dataDxfId="114"/>
    <tableColumn id="5" xr3:uid="{C6B526D3-DAA6-4F88-81F5-7DB86BF981AC}" name="impPop_ref" dataDxfId="113"/>
    <tableColumn id="6" xr3:uid="{C9026106-EDD9-4250-8D4F-CC5B90BF3A16}" name="impPop_sv" dataDxfId="112"/>
    <tableColumn id="7" xr3:uid="{D8536715-4752-466A-878D-9AD081783525}" name="impact_ref" dataDxfId="111"/>
    <tableColumn id="8" xr3:uid="{88B4CA07-0532-4A46-9BA1-C030574A9102}" name="impact_sv" dataDxfId="110"/>
    <tableColumn id="15" xr3:uid="{44572F88-B284-4C0A-A927-2A24D57E4CD1}" name="national_highRiskPop_ref" dataDxfId="109"/>
    <tableColumn id="16" xr3:uid="{C80BB7AB-FDC1-4DBE-831F-F83C237C2A75}" name="national_highRiskPop_sv" dataDxfId="108"/>
    <tableColumn id="12" xr3:uid="{774438EA-7F8F-4E1B-814F-12E8373AEBB0}" name="regional_highRiskPop_ref" dataDxfId="107"/>
    <tableColumn id="13" xr3:uid="{A9EFBC4E-3D77-4E45-9352-E6F721529B82}" name="regional_highRiskPop_sv" dataDxfId="106"/>
    <tableColumn id="9" xr3:uid="{6195A341-B741-4D13-8DCD-4F626C35ADFC}" name="aveRate_ref" dataDxfId="105"/>
    <tableColumn id="10" xr3:uid="{20E29524-B0BC-4A4D-BFA3-DB4E63450E5D}" name="aveRate_sv" dataDxfId="104"/>
    <tableColumn id="11" xr3:uid="{291CADFE-8959-487A-B68B-97041AC100A8}" name="scenario" dataDxfId="103"/>
    <tableColumn id="14" xr3:uid="{8CF88DC2-BD17-44BB-BA49-2B0FB6992996}" name="variant" dataDxfId="102"/>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F1EB9-3064-4E81-AF3B-8B3931154BB9}" name="outputs2" displayName="outputs2" comment="FrEDI SV Module outputs if the sector has a second adaptation" ref="A1:Q12679" totalsRowShown="0" headerRowDxfId="101" dataDxfId="100">
  <autoFilter ref="A1:Q12679" xr:uid="{29837EF9-DEBF-4E42-B72B-A7D5FA12D177}"/>
  <tableColumns count="17">
    <tableColumn id="1" xr3:uid="{EC4A375F-3692-4A79-BFE6-7264549584F7}" name="region" dataDxfId="99"/>
    <tableColumn id="2" xr3:uid="{307247FB-CDC6-46EE-9D66-A81538557476}" name="svGroupType" dataDxfId="98"/>
    <tableColumn id="3" xr3:uid="{96782F42-132C-487E-858D-AB694AADFEBA}" name="driverUnit" dataDxfId="97"/>
    <tableColumn id="18" xr3:uid="{1D816251-637E-4D64-9886-5D1147B8B95C}" name="driverValue" dataDxfId="96"/>
    <tableColumn id="4" xr3:uid="{B6E6C76E-572B-40B6-B6AB-CA956F271435}" name="year" dataDxfId="95"/>
    <tableColumn id="5" xr3:uid="{4238D754-6C57-4286-A85B-D23EDD357195}" name="impPop_ref" dataDxfId="94"/>
    <tableColumn id="6" xr3:uid="{6FBFF665-24FA-4C19-AD17-86E57B310A2E}" name="impPop_sv" dataDxfId="93"/>
    <tableColumn id="7" xr3:uid="{D2874574-CDB6-4632-B95C-B75D11377FBB}" name="impact_ref" dataDxfId="92"/>
    <tableColumn id="8" xr3:uid="{A5BC4E9B-16E1-4381-BA52-9EBD571EA257}" name="impact_sv" dataDxfId="91"/>
    <tableColumn id="16" xr3:uid="{9AF3BD3D-FB94-4A45-9371-D4BEDCEC7F84}" name="national_highRiskPop_ref" dataDxfId="90"/>
    <tableColumn id="15" xr3:uid="{936CE0C5-8FD7-4B75-9C2B-4FB47993A961}" name="national_highRiskPop_sv" dataDxfId="89"/>
    <tableColumn id="13" xr3:uid="{6DDEFC24-0E69-4223-8843-934C6E845E2E}" name="regional_highRiskPop_ref" dataDxfId="88"/>
    <tableColumn id="12" xr3:uid="{D1DD60EF-A47E-4513-BBC5-770274C1BC40}" name="regional_highRiskPop_sv" dataDxfId="87"/>
    <tableColumn id="10" xr3:uid="{54ACD911-D789-4AAB-A671-FAB7420232EC}" name="aveRate_ref" dataDxfId="86"/>
    <tableColumn id="9" xr3:uid="{23082E3F-90FE-42E8-AD04-7438C696210E}" name="aveRate_sv" dataDxfId="85"/>
    <tableColumn id="11" xr3:uid="{EBE221FB-186B-44D0-8D11-A8E1B718EC24}" name="scenario" dataDxfId="84"/>
    <tableColumn id="14" xr3:uid="{D93E1CD5-93EA-4E54-B709-524525E9004C}" name="variant" dataDxfId="83"/>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477DF2-8183-4FB9-A0A3-2912C453389F}" name="SV_Categories" displayName="SV_Categories" ref="B43:D55" totalsRowShown="0" headerRowDxfId="82" dataDxfId="81">
  <autoFilter ref="B43:D55" xr:uid="{3D477DF2-8183-4FB9-A0A3-2912C453389F}"/>
  <tableColumns count="3">
    <tableColumn id="1" xr3:uid="{A2145870-F596-49CE-92FC-00E7A46599D7}" name="ID" dataDxfId="80">
      <calculatedColumnFormula xml:space="preserve"> ROW( SV_Categories[[#This Row],[ID]] ) - ROW( SV_Categories[[#Headers],[ID]] )</calculatedColumnFormula>
    </tableColumn>
    <tableColumn id="2" xr3:uid="{DFCB4241-6DF5-4A13-9C66-DB726F773038}" name="svGroupType" dataDxfId="79"/>
    <tableColumn id="3" xr3:uid="{54A3F660-13BE-4AB5-86BD-499D17488710}" name="svGroupLabel" dataDxfId="78"/>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51BD74-16DA-4492-A391-1498A84EB330}" name="coVariants" displayName="coVariants" comment="Information about variants" ref="B15:E25" totalsRowShown="0" headerRowDxfId="77" dataDxfId="76">
  <autoFilter ref="B15:E25" xr:uid="{5451BD74-16DA-4492-A391-1498A84EB330}"/>
  <tableColumns count="4">
    <tableColumn id="1" xr3:uid="{F359D9F4-6CAC-4CAA-9EC9-E34B0FFC57C3}" name="ID" dataDxfId="75">
      <calculatedColumnFormula xml:space="preserve"> ROW( coVariants[[#This Row],[ID]] ) - ROW( coVariants[[#Headers],[ID]] )</calculatedColumnFormula>
    </tableColumn>
    <tableColumn id="2" xr3:uid="{D892DF7E-6C63-470D-A28A-5BB7B81B732A}" name="sector_abbr" dataDxfId="74"/>
    <tableColumn id="3" xr3:uid="{9C250F7C-2C4B-43CD-A6A8-66B8FAEC3367}" name="variant_label" dataDxfId="73"/>
    <tableColumn id="4" xr3:uid="{62F4731C-868D-4BC2-A66F-59C52D7F903D}" name="variant_abbr" dataDxfId="72"/>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FD8FAC0-8DB5-43F3-98EB-FAA059F8D7CB}" name="co_emissions" displayName="co_emissions" ref="B35:E39" totalsRowShown="0" headerRowDxfId="71" dataDxfId="70">
  <autoFilter ref="B35:E39" xr:uid="{8FD8FAC0-8DB5-43F3-98EB-FAA059F8D7CB}"/>
  <tableColumns count="4">
    <tableColumn id="1" xr3:uid="{6F814D0D-15E8-4B26-90EA-310993CCF1ED}" name="ID" dataDxfId="69">
      <calculatedColumnFormula xml:space="preserve"> ROW( co_emissions[[#This Row],[ID]] ) - ROW( co_emissions[[#Headers],[ID]] )</calculatedColumnFormula>
    </tableColumn>
    <tableColumn id="2" xr3:uid="{DBCB0E4B-7D83-4767-9CE3-4A300EB3BE08}" name="Emissions Scenario" dataDxfId="68">
      <calculatedColumnFormula array="1">IF(INDEX(outputs1[scenario],MATCH(0,COUNTIF('Control Panel'!$C$35:C35,outputs1[scenario]),0)) = 0,"", INDEX(outputs1[scenario],MATCH(0,COUNTIF('Control Panel'!$C$35:C35,outputs1[scenario]),0)))</calculatedColumnFormula>
    </tableColumn>
    <tableColumn id="5" xr3:uid="{27C01BA4-1D41-40A9-AE66-CDD247A6B650}" name="Default Label" dataDxfId="67">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66"/>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2BC673-D7EF-436A-B136-6E96D51B0D6B}" name="co_sectorInfo" displayName="co_sectorInfo" ref="B4:N11" totalsRowShown="0" headerRowDxfId="65" dataDxfId="64">
  <autoFilter ref="B4:N11" xr:uid="{5A2BC673-D7EF-436A-B136-6E96D51B0D6B}"/>
  <tableColumns count="13">
    <tableColumn id="1" xr3:uid="{BE1E62BD-F324-4137-A423-E61418E78D55}" name="ID" dataDxfId="63">
      <calculatedColumnFormula xml:space="preserve"> ROW( co_sectorInfo[[#This Row],[ID]] ) - ROW( co_sectorInfo[[#Headers],[ID]] )</calculatedColumnFormula>
    </tableColumn>
    <tableColumn id="2" xr3:uid="{32153C62-381E-4DE9-BCA5-5256BB42AA06}" name="sector" dataDxfId="62"/>
    <tableColumn id="9" xr3:uid="{C21D6D5D-8FF2-4F37-B92B-E39AAA9F0168}" name="sector_abbr" dataDxfId="61"/>
    <tableColumn id="8" xr3:uid="{19FD31F7-9AC6-4E48-9325-C1CFF86B47C6}" name="impactUnit" dataDxfId="60"/>
    <tableColumn id="12" xr3:uid="{3E00B30D-3F99-4336-BD98-4C0B038805CF}" name="impactUnitFormatted" dataDxfId="59"/>
    <tableColumn id="3" xr3:uid="{54F5285D-720B-4649-925D-03458E747ECC}" name="popWeightColumn" dataDxfId="58"/>
    <tableColumn id="4" xr3:uid="{5A39E9D7-AB15-4952-9256-61AC04AE1576}" name="popWeightLabel" dataDxfId="57"/>
    <tableColumn id="5" xr3:uid="{2AAD5D17-7DED-48CE-96B5-7FBC4B5DAB1F}" name="rateUnit" dataDxfId="56"/>
    <tableColumn id="6" xr3:uid="{61330509-4CE4-432A-A900-9474C240EF44}" name="rateUnitLabel" dataDxfId="55"/>
    <tableColumn id="7" xr3:uid="{C4EADAAA-B34C-43E3-ADD6-505F0BEF9D0C}" name="modelType" dataDxfId="54"/>
    <tableColumn id="10" xr3:uid="{5A63AE85-F93E-4AEC-BB12-AC1336B4ADA2}" name="driverUnit_label" dataDxfId="53">
      <calculatedColumnFormula xml:space="preserve"> INDEX( co_modelTypes[driverUnit_label], MATCH( co_sectorInfo[[#This Row],[modelType]], co_modelTypes[modelType], 0 ) )</calculatedColumnFormula>
    </tableColumn>
    <tableColumn id="13" xr3:uid="{3AFE86BD-BF5C-4CDA-8C4C-B6CE7AEEDE14}" name="Missing SV Group Text" dataDxfId="52"/>
    <tableColumn id="14" xr3:uid="{9A174828-A40F-4442-B72E-8084A6629FDB}" name="Alternate Plot Title" dataDxfId="51"/>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75CBCF-7148-4462-8843-EDE2806F7C58}" name="co_modelTypes" displayName="co_modelTypes" comment="Information about model types" ref="B29:E31" totalsRowShown="0" headerRowDxfId="50" dataDxfId="49">
  <autoFilter ref="B29:E31" xr:uid="{7F75CBCF-7148-4462-8843-EDE2806F7C58}"/>
  <tableColumns count="4">
    <tableColumn id="1" xr3:uid="{DDFAEC84-D9A7-4EB3-8DDB-0AF56AC2E8AA}" name="ID" dataDxfId="48">
      <calculatedColumnFormula xml:space="preserve"> ROW( co_modelTypes[[#This Row],[ID]] ) - ROW( co_modelTypes[[#Headers],[ID]] )</calculatedColumnFormula>
    </tableColumn>
    <tableColumn id="2" xr3:uid="{950845DA-B3F2-455A-9D9A-11A16E95E4C4}" name="modelType" dataDxfId="47"/>
    <tableColumn id="3" xr3:uid="{33EE70E1-A9FC-46E5-8468-AADA47D6FDBB}" name="driverUnit_abbr" dataDxfId="46"/>
    <tableColumn id="4" xr3:uid="{DFEF1CB2-F14C-45DF-942F-62A7F0623FC7}" name="driverUnit_label" dataDxfId="45"/>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CB3EB2-D2AD-4F7F-8511-62C00E38663C}" name="co_modelValues" displayName="co_modelValues" comment="Control table of global model variables" ref="B59:E63" totalsRowShown="0" headerRowDxfId="44" dataDxfId="43">
  <autoFilter ref="B59:E63" xr:uid="{52CB3EB2-D2AD-4F7F-8511-62C00E38663C}"/>
  <tableColumns count="4">
    <tableColumn id="1" xr3:uid="{D6E66BE7-1618-4FA7-90A6-4F27ACA25690}" name="ID" dataDxfId="42">
      <calculatedColumnFormula xml:space="preserve"> ROW( co_modelValues[[#This Row],[ID]] ) - ROW( co_modelValues[[#Headers],[ID]] )</calculatedColumnFormula>
    </tableColumn>
    <tableColumn id="2" xr3:uid="{68EB0ABD-670A-45BA-A78F-80AFB2040F44}" name="valueName" dataDxfId="41"/>
    <tableColumn id="3" xr3:uid="{D1B84BCB-02C8-40BC-8383-5D04A6B484FF}" name="description" dataDxfId="40"/>
    <tableColumn id="5" xr3:uid="{FB01D816-5D1D-4BB8-BDA4-08AE412F6A90}" name="value2" dataDxfId="39"/>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37CA9C-1FF7-433D-AEE9-5A40AF9EB21C}" name="co_plotLabels" displayName="co_plotLabels" comment="Control table of plot labels" ref="B105:E118" totalsRowShown="0" headerRowDxfId="38" dataDxfId="37">
  <autoFilter ref="B105:E118" xr:uid="{E337CA9C-1FF7-433D-AEE9-5A40AF9EB21C}"/>
  <tableColumns count="4">
    <tableColumn id="1" xr3:uid="{5E8ED2A6-E9D7-4963-83DC-F0567D9CEE55}" name="ID" dataDxfId="36" totalsRowDxfId="35">
      <calculatedColumnFormula xml:space="preserve"> ROW( co_plotLabels[[#This Row],[ID]] ) - ROW( co_plotLabels[[#Headers],[ID]] )</calculatedColumnFormula>
    </tableColumn>
    <tableColumn id="2" xr3:uid="{3D9B9ED9-7061-4639-97FE-4E148B210499}" name="plot_id" dataDxfId="34" totalsRowDxfId="33"/>
    <tableColumn id="3" xr3:uid="{BD40AEE4-63C9-46BF-880D-F4EEBDC4736D}" name="valueType" dataDxfId="32" totalsRowDxfId="31"/>
    <tableColumn id="5" xr3:uid="{0F77981B-8650-4B12-AD87-B77BB7801421}" name="value" dataDxfId="3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77219D-2DF3-48E9-BAEE-21ABFBC11633}" name="co_plotSelections" displayName="co_plotSelections" comment="Values for plot selections" ref="B78:G101" totalsRowShown="0" headerRowDxfId="29" dataDxfId="28">
  <autoFilter ref="B78:G101" xr:uid="{CD77219D-2DF3-48E9-BAEE-21ABFBC11633}"/>
  <tableColumns count="6">
    <tableColumn id="1" xr3:uid="{9A891813-397D-4C36-8F05-A2B802FA778F}" name="ID" dataDxfId="27">
      <calculatedColumnFormula xml:space="preserve"> ROW( co_plotSelections[[#This Row],[ID]] ) - ROW( co_plotSelections[[#Headers],[ID]] )</calculatedColumnFormula>
    </tableColumn>
    <tableColumn id="2" xr3:uid="{1BE43C4A-061E-43BA-971B-6543385D68AA}" name="plot_id" dataDxfId="26"/>
    <tableColumn id="3" xr3:uid="{3F1C9E58-A02E-4E57-A4AC-8BB98D364F6C}" name="inputType" dataDxfId="25"/>
    <tableColumn id="9" xr3:uid="{5CF7D30E-D00B-4A27-8E10-4D6548F49844}" name="inputsName" dataDxfId="24">
      <calculatedColumnFormula xml:space="preserve"> INDEX( co_plotList[inputsName], MATCH( co_plotSelections[[#This Row],[plot_id]], co_plotList[plot_id], 0 ) )</calculatedColumnFormula>
    </tableColumn>
    <tableColumn id="5" xr3:uid="{DFC618C8-1810-487D-BAFF-1628B9BA65A6}" name="inputIndex" dataDxfId="23"/>
    <tableColumn id="7" xr3:uid="{330F51C8-0F73-414A-99EC-A697403277F9}" name="inputValue" dataDxfId="22">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9CC450-A98C-4AD0-88AF-CC2C5B2061DA}" name="co_plotList" displayName="co_plotList" comment="Control table with list of plots and other info" ref="B67:G74" totalsRowShown="0" headerRowDxfId="21" dataDxfId="20">
  <autoFilter ref="B67:G74" xr:uid="{8F9CC450-A98C-4AD0-88AF-CC2C5B2061DA}"/>
  <tableColumns count="6">
    <tableColumn id="1" xr3:uid="{824D975D-87A9-4FBF-B774-9F82B56A4351}" name="ID" dataDxfId="19">
      <calculatedColumnFormula xml:space="preserve"> ROW( co_plotList[[#This Row],[ID]] ) - ROW( co_plotList[[#Headers],[ID]] )</calculatedColumnFormula>
    </tableColumn>
    <tableColumn id="2" xr3:uid="{4D5300D6-069C-437B-98C5-43420D747C9E}" name="Worksheet" dataDxfId="18"/>
    <tableColumn id="3" xr3:uid="{22D29CA2-453A-458A-B93D-2C155DA58D0A}" name="Description" dataDxfId="17"/>
    <tableColumn id="5" xr3:uid="{450F8385-6F56-43D2-B6D6-8602599534DE}" name="plot_id" dataDxfId="16"/>
    <tableColumn id="6" xr3:uid="{D69E4E37-06F7-4C6B-ABDE-DF8D6FF0D029}" name="plotNumber" dataDxfId="15"/>
    <tableColumn id="7" xr3:uid="{F081A8CF-8DFC-4324-8C99-F1BB73A36E17}" name="inputsName" dataDxfId="14"/>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D5C644-41D7-4988-A231-6F3E6223E324}" name="co_regions" displayName="co_regions" ref="B122:C130" totalsRowShown="0" headerRowDxfId="13" dataDxfId="12">
  <autoFilter ref="B122:C130" xr:uid="{C4D5C644-41D7-4988-A231-6F3E6223E324}"/>
  <tableColumns count="2">
    <tableColumn id="1" xr3:uid="{796FC5D0-50A8-4A29-80E4-539A62347CC2}" name="ID" dataDxfId="11">
      <calculatedColumnFormula xml:space="preserve"> ROW( co_regions[[#This Row],[ID]] ) - ROW( co_regions[[#Headers],[ID]] )</calculatedColumnFormula>
    </tableColumn>
    <tableColumn id="2" xr3:uid="{06C2AB40-0F29-4219-97DE-6F20216B9F39}" name="Region" dataDxfId="10"/>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6AD3FD0-57EA-42AE-9F27-E3EFF8764C5F}" name="co_years" displayName="co_years" ref="B134:C151" totalsRowShown="0" headerRowDxfId="9" dataDxfId="8">
  <autoFilter ref="B134:C151" xr:uid="{D6AD3FD0-57EA-42AE-9F27-E3EFF8764C5F}"/>
  <tableColumns count="2">
    <tableColumn id="1" xr3:uid="{BEE6E7B7-7A21-4F2E-B078-1B3878A885E1}" name="ID" dataDxfId="7">
      <calculatedColumnFormula xml:space="preserve"> ROW( co_years[[#This Row],[ID]] ) - ROW( co_years[[#Headers],[ID]] )</calculatedColumnFormula>
    </tableColumn>
    <tableColumn id="2" xr3:uid="{8DFA6E3A-393D-48DD-934A-4486311FC1E9}" name="Year" dataDxfId="6">
      <calculatedColumnFormula xml:space="preserve"> 2010 + ( co_years[[#This Row],[ID]] - 1 ) * 5</calculatedColumnFormula>
    </tableColumn>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7C6089F-2889-4D01-A721-0E49095CE1B5}" name="svValidTypes" displayName="svValidTypes" ref="B154:E158" totalsRowShown="0" headerRowDxfId="5" dataDxfId="4">
  <autoFilter ref="B154:E158" xr:uid="{47C6089F-2889-4D01-A721-0E49095CE1B5}"/>
  <tableColumns count="4">
    <tableColumn id="1" xr3:uid="{241B1612-D45B-4998-9596-FFA14EAA8BDD}" name="ID" dataDxfId="3">
      <calculatedColumnFormula xml:space="preserve"> ROW( svValidTypes[[#This Row],[ID]] ) - ROW( svValidTypes[[#Headers],[ID]] )</calculatedColumnFormula>
    </tableColumn>
    <tableColumn id="2" xr3:uid="{DA613098-A5A2-4519-8AA6-8C0E7F1FA390}" name="svGroupType" dataDxfId="2"/>
    <tableColumn id="3" xr3:uid="{93A00822-372F-4A2D-9C33-0BCB8E4EE39B}" name="svGroupLabel" dataDxfId="1"/>
    <tableColumn id="4" xr3:uid="{D1B96530-75F3-438A-AC37-C5C4C53D87FF}" name="Valid Impact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3" dT="2022-02-08T18:52:29.19" personId="{78BC18CC-8056-418B-A2B8-C0FAEA7917CF}" id="{0A6D2CD0-F9DD-4B69-90C3-E1EE88E1BA1F}">
    <text>SV group type. Exclude spaces.</text>
  </threadedComment>
  <threadedComment ref="D43" dT="2022-02-08T18:52:58.36" personId="{78BC18CC-8056-418B-A2B8-C0FAEA7917CF}" id="{605C46EF-E1B1-489E-8B85-69166D5D90A1}">
    <text>Plain text group label for display</text>
  </threadedComment>
  <threadedComment ref="C154" dT="2022-02-08T18:52:29.19" personId="{78BC18CC-8056-418B-A2B8-C0FAEA7917CF}" id="{C1F885D5-B4C6-435E-B32D-BC4BA417802F}">
    <text>SV group type. Exclude spaces.</text>
  </threadedComment>
  <threadedComment ref="D154" dT="2022-02-08T18:52:58.36" personId="{78BC18CC-8056-418B-A2B8-C0FAEA7917CF}" id="{20772D0C-1DC4-488D-8DAE-167B16634219}">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2" Type="http://schemas.openxmlformats.org/officeDocument/2006/relationships/vmlDrawing" Target="../drawings/vmlDrawing1.vml"/><Relationship Id="rId16" Type="http://schemas.microsoft.com/office/2017/10/relationships/threadedComment" Target="../threadedComments/threadedComment1.xml"/><Relationship Id="rId1" Type="http://schemas.openxmlformats.org/officeDocument/2006/relationships/printerSettings" Target="../printerSettings/printerSettings5.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comments" Target="../comments1.xml"/><Relationship Id="rId10" Type="http://schemas.openxmlformats.org/officeDocument/2006/relationships/table" Target="../tables/table20.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4EC-4BCF-4320-9695-B12BCB0EC793}">
  <sheetPr codeName="Sheet1">
    <tabColor theme="0"/>
  </sheetPr>
  <dimension ref="B3:C35"/>
  <sheetViews>
    <sheetView tabSelected="1" workbookViewId="0"/>
  </sheetViews>
  <sheetFormatPr defaultRowHeight="15" x14ac:dyDescent="0.25"/>
  <cols>
    <col min="2" max="2" width="21" customWidth="1"/>
    <col min="3" max="3" width="104.5703125" customWidth="1"/>
  </cols>
  <sheetData>
    <row r="3" spans="2:3" x14ac:dyDescent="0.25">
      <c r="B3" t="s">
        <v>0</v>
      </c>
    </row>
    <row r="4" spans="2:3" x14ac:dyDescent="0.25">
      <c r="B4" t="s">
        <v>1</v>
      </c>
    </row>
    <row r="5" spans="2:3" x14ac:dyDescent="0.25">
      <c r="B5" s="4"/>
      <c r="C5" s="5"/>
    </row>
    <row r="6" spans="2:3" x14ac:dyDescent="0.25">
      <c r="B6" s="1" t="s">
        <v>2</v>
      </c>
      <c r="C6" s="5"/>
    </row>
    <row r="7" spans="2:3" x14ac:dyDescent="0.25">
      <c r="B7" t="s">
        <v>3</v>
      </c>
    </row>
    <row r="8" spans="2:3" x14ac:dyDescent="0.25">
      <c r="B8" t="s">
        <v>4</v>
      </c>
      <c r="C8" t="s">
        <v>5</v>
      </c>
    </row>
    <row r="15" spans="2:3" x14ac:dyDescent="0.25">
      <c r="B15" t="s">
        <v>6</v>
      </c>
      <c r="C15" t="s">
        <v>7</v>
      </c>
    </row>
    <row r="16" spans="2:3" x14ac:dyDescent="0.25">
      <c r="C16" t="s">
        <v>8</v>
      </c>
    </row>
    <row r="18" spans="2:3" x14ac:dyDescent="0.25">
      <c r="B18" t="s">
        <v>9</v>
      </c>
      <c r="C18" t="s">
        <v>10</v>
      </c>
    </row>
    <row r="19" spans="2:3" ht="30" customHeight="1" x14ac:dyDescent="0.25">
      <c r="B19" s="22" t="s">
        <v>11</v>
      </c>
      <c r="C19" s="22" t="s">
        <v>228</v>
      </c>
    </row>
    <row r="20" spans="2:3" ht="75" x14ac:dyDescent="0.25">
      <c r="B20" s="22" t="s">
        <v>12</v>
      </c>
      <c r="C20" s="22" t="s">
        <v>230</v>
      </c>
    </row>
    <row r="21" spans="2:3" ht="30" customHeight="1" x14ac:dyDescent="0.25">
      <c r="B21" s="22" t="s">
        <v>13</v>
      </c>
      <c r="C21" s="22" t="s">
        <v>227</v>
      </c>
    </row>
    <row r="22" spans="2:3" ht="30" x14ac:dyDescent="0.25">
      <c r="B22" s="22" t="s">
        <v>3</v>
      </c>
      <c r="C22" s="22" t="s">
        <v>14</v>
      </c>
    </row>
    <row r="23" spans="2:3" ht="30" x14ac:dyDescent="0.25">
      <c r="B23" s="22" t="s">
        <v>4</v>
      </c>
      <c r="C23" s="22" t="s">
        <v>15</v>
      </c>
    </row>
    <row r="24" spans="2:3" ht="30" x14ac:dyDescent="0.25">
      <c r="B24" s="22" t="s">
        <v>16</v>
      </c>
      <c r="C24" s="22" t="s">
        <v>229</v>
      </c>
    </row>
    <row r="25" spans="2:3" x14ac:dyDescent="0.25">
      <c r="B25" s="22"/>
    </row>
    <row r="26" spans="2:3" x14ac:dyDescent="0.25">
      <c r="B26" s="22" t="s">
        <v>17</v>
      </c>
    </row>
    <row r="27" spans="2:3" ht="30" customHeight="1" x14ac:dyDescent="0.25">
      <c r="B27" s="22" t="s">
        <v>18</v>
      </c>
      <c r="C27" s="22" t="s">
        <v>19</v>
      </c>
    </row>
    <row r="28" spans="2:3" ht="30" x14ac:dyDescent="0.25">
      <c r="B28" s="22" t="s">
        <v>20</v>
      </c>
      <c r="C28" s="22" t="s">
        <v>21</v>
      </c>
    </row>
    <row r="29" spans="2:3" ht="15" customHeight="1" x14ac:dyDescent="0.25"/>
    <row r="30" spans="2:3" ht="15" customHeight="1" x14ac:dyDescent="0.25"/>
    <row r="31" spans="2:3" ht="15" customHeight="1" x14ac:dyDescent="0.25">
      <c r="B31" t="s">
        <v>22</v>
      </c>
    </row>
    <row r="32" spans="2:3" ht="15" customHeight="1" x14ac:dyDescent="0.25">
      <c r="B32" t="s">
        <v>23</v>
      </c>
      <c r="C32" t="s">
        <v>24</v>
      </c>
    </row>
    <row r="33" spans="2:3" ht="30" x14ac:dyDescent="0.25">
      <c r="B33" t="s">
        <v>25</v>
      </c>
      <c r="C33" s="22" t="s">
        <v>26</v>
      </c>
    </row>
    <row r="34" spans="2:3" x14ac:dyDescent="0.25">
      <c r="B34" t="s">
        <v>27</v>
      </c>
      <c r="C34" t="s">
        <v>28</v>
      </c>
    </row>
    <row r="35" spans="2:3" x14ac:dyDescent="0.25">
      <c r="B35" t="s">
        <v>29</v>
      </c>
      <c r="C35" t="s">
        <v>30</v>
      </c>
    </row>
  </sheetData>
  <conditionalFormatting sqref="B8:C8">
    <cfRule type="expression" dxfId="314" priority="1">
      <formula>$C$8="N/A"</formula>
    </cfRule>
  </conditionalFormatting>
  <hyperlinks>
    <hyperlink ref="C15" r:id="rId1" xr:uid="{BA09185E-DD5A-46ED-A568-C945B28F0A10}"/>
    <hyperlink ref="C16" r:id="rId2" display="FrEDI Documentation" xr:uid="{AA5CEE27-4F8E-4BE2-A76C-DDC81B13EC53}"/>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0DBF-C50F-478B-A5F0-B25146C74AB7}">
  <sheetPr>
    <tabColor theme="4" tint="0.59999389629810485"/>
  </sheetPr>
  <dimension ref="B1:Z135"/>
  <sheetViews>
    <sheetView topLeftCell="A29" zoomScale="80" zoomScaleNormal="80" workbookViewId="0">
      <selection activeCell="H51" sqref="H51"/>
    </sheetView>
  </sheetViews>
  <sheetFormatPr defaultRowHeight="12.75" x14ac:dyDescent="0.2"/>
  <cols>
    <col min="1" max="1" width="9.140625" style="6"/>
    <col min="2" max="2" width="7.140625" style="6" bestFit="1" customWidth="1"/>
    <col min="3" max="3" width="30" style="6" customWidth="1"/>
    <col min="4" max="5" width="26.42578125" style="6" customWidth="1"/>
    <col min="6" max="27" width="20.85546875" style="6" customWidth="1"/>
    <col min="28" max="29" width="9.140625" style="6"/>
    <col min="30" max="30" width="26.42578125" style="6" bestFit="1" customWidth="1"/>
    <col min="31" max="31" width="10.5703125" style="6" bestFit="1" customWidth="1"/>
    <col min="32" max="47" width="9.5703125" style="6" bestFit="1" customWidth="1"/>
    <col min="48" max="16384" width="9.140625" style="6"/>
  </cols>
  <sheetData>
    <row r="1" spans="3:5" x14ac:dyDescent="0.2">
      <c r="C1" s="32" t="s">
        <v>31</v>
      </c>
    </row>
    <row r="2" spans="3:5" x14ac:dyDescent="0.2">
      <c r="C2" s="14" t="s">
        <v>32</v>
      </c>
      <c r="D2" s="15" t="s">
        <v>33</v>
      </c>
      <c r="E2" s="6" t="e">
        <f>IF(INDEX(co_sectorInfo[Missing SV Group Text],MATCH(input_sector,co_sectorInfo[sector],0))&lt;&gt;"",_xlfn.TEXTJOIN(" ",TRUE,INDEX(co_sectorInfo[Missing SV Group Text],MATCH(input_sector,co_sectorInfo[sector],0)),"not included for",input_sector),"")</f>
        <v>#N/A</v>
      </c>
    </row>
    <row r="3" spans="3:5" x14ac:dyDescent="0.2">
      <c r="C3" s="16" t="s">
        <v>34</v>
      </c>
      <c r="D3" s="15"/>
    </row>
    <row r="4" spans="3:5" x14ac:dyDescent="0.2">
      <c r="C4" s="14" t="s">
        <v>35</v>
      </c>
      <c r="D4" s="15" t="s">
        <v>36</v>
      </c>
    </row>
    <row r="8" spans="3:5" x14ac:dyDescent="0.2">
      <c r="C8" s="13"/>
    </row>
    <row r="28" spans="3:4" x14ac:dyDescent="0.2">
      <c r="C28" s="32" t="s">
        <v>31</v>
      </c>
    </row>
    <row r="29" spans="3:4" x14ac:dyDescent="0.2">
      <c r="C29" s="16" t="s">
        <v>34</v>
      </c>
      <c r="D29" s="15"/>
    </row>
    <row r="30" spans="3:4" x14ac:dyDescent="0.2">
      <c r="C30" s="16" t="s">
        <v>37</v>
      </c>
      <c r="D30" s="15"/>
    </row>
    <row r="31" spans="3:4" x14ac:dyDescent="0.2">
      <c r="C31" s="14" t="s">
        <v>35</v>
      </c>
      <c r="D31" s="15" t="s">
        <v>36</v>
      </c>
    </row>
    <row r="32" spans="3:4" x14ac:dyDescent="0.2">
      <c r="C32" s="16" t="s">
        <v>38</v>
      </c>
      <c r="D32" s="17" t="s">
        <v>39</v>
      </c>
    </row>
    <row r="65" spans="2:23" x14ac:dyDescent="0.2">
      <c r="F65" s="6" t="s">
        <v>40</v>
      </c>
      <c r="G65" s="6">
        <f xml:space="preserve"> VALUE( G66 )</f>
        <v>2010</v>
      </c>
      <c r="H65" s="6">
        <f t="shared" ref="H65:W65" si="0" xml:space="preserve"> VALUE( H66 )</f>
        <v>2015</v>
      </c>
      <c r="I65" s="6">
        <f t="shared" si="0"/>
        <v>2020</v>
      </c>
      <c r="J65" s="6">
        <f t="shared" si="0"/>
        <v>2025</v>
      </c>
      <c r="K65" s="6">
        <f t="shared" si="0"/>
        <v>2030</v>
      </c>
      <c r="L65" s="6">
        <f t="shared" si="0"/>
        <v>2035</v>
      </c>
      <c r="M65" s="6">
        <f t="shared" si="0"/>
        <v>2040</v>
      </c>
      <c r="N65" s="6">
        <f t="shared" si="0"/>
        <v>2045</v>
      </c>
      <c r="O65" s="6">
        <f t="shared" si="0"/>
        <v>2050</v>
      </c>
      <c r="P65" s="6">
        <f t="shared" si="0"/>
        <v>2055</v>
      </c>
      <c r="Q65" s="6">
        <f t="shared" si="0"/>
        <v>2060</v>
      </c>
      <c r="R65" s="6">
        <f t="shared" si="0"/>
        <v>2065</v>
      </c>
      <c r="S65" s="6">
        <f t="shared" si="0"/>
        <v>2070</v>
      </c>
      <c r="T65" s="6">
        <f t="shared" si="0"/>
        <v>2075</v>
      </c>
      <c r="U65" s="6">
        <f t="shared" si="0"/>
        <v>2080</v>
      </c>
      <c r="V65" s="6">
        <f t="shared" si="0"/>
        <v>2085</v>
      </c>
      <c r="W65" s="6">
        <f t="shared" si="0"/>
        <v>2090</v>
      </c>
    </row>
    <row r="66" spans="2:23" x14ac:dyDescent="0.2">
      <c r="B66" s="6" t="s">
        <v>41</v>
      </c>
      <c r="C66" s="6" t="s">
        <v>32</v>
      </c>
      <c r="D66" s="6" t="s">
        <v>35</v>
      </c>
      <c r="E66" s="6" t="s">
        <v>34</v>
      </c>
      <c r="F66" s="6" t="s">
        <v>37</v>
      </c>
      <c r="G66" s="18" t="s">
        <v>42</v>
      </c>
      <c r="H66" s="18" t="s">
        <v>43</v>
      </c>
      <c r="I66" s="18" t="s">
        <v>44</v>
      </c>
      <c r="J66" s="18" t="s">
        <v>45</v>
      </c>
      <c r="K66" s="18" t="s">
        <v>46</v>
      </c>
      <c r="L66" s="18" t="s">
        <v>47</v>
      </c>
      <c r="M66" s="18" t="s">
        <v>48</v>
      </c>
      <c r="N66" s="18" t="s">
        <v>49</v>
      </c>
      <c r="O66" s="18" t="s">
        <v>39</v>
      </c>
      <c r="P66" s="18" t="s">
        <v>50</v>
      </c>
      <c r="Q66" s="18" t="s">
        <v>51</v>
      </c>
      <c r="R66" s="18" t="s">
        <v>52</v>
      </c>
      <c r="S66" s="18" t="s">
        <v>53</v>
      </c>
      <c r="T66" s="18" t="s">
        <v>54</v>
      </c>
      <c r="U66" s="18" t="s">
        <v>55</v>
      </c>
      <c r="V66" s="18" t="s">
        <v>56</v>
      </c>
      <c r="W66" s="18" t="s">
        <v>57</v>
      </c>
    </row>
    <row r="67" spans="2:23" x14ac:dyDescent="0.2">
      <c r="B67" s="8" cm="1">
        <f t="array" ref="B67">ROW(impacts_byYear[[#This Row],[Row]]) - ROW(impacts_byYear[#Headers])</f>
        <v>1</v>
      </c>
      <c r="C67" s="7" t="str">
        <f t="shared" ref="C67:C70" si="1" xml:space="preserve"> IF( ISBLANK( $D$2 ), "All", $D$2 )</f>
        <v>Minority</v>
      </c>
      <c r="D67" s="6" t="str">
        <f xml:space="preserve"> IF( ISBLANK( $D$4 ), "", $D$4 )</f>
        <v>CONUS</v>
      </c>
      <c r="E67" s="6" t="str">
        <f t="shared" ref="E67:E70" si="2" xml:space="preserve"> IF( ISBLANK( $D$3 ), "", $D$3 )</f>
        <v/>
      </c>
      <c r="F67" s="6" t="str">
        <f>'Control Panel'!$C36</f>
        <v/>
      </c>
      <c r="G67" s="6" t="str" cm="1">
        <f t="array" ref="G67"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7" s="6" t="str" cm="1">
        <f t="array" ref="H67"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7" s="6" t="str" cm="1">
        <f t="array" ref="I67"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7" s="6" t="str" cm="1">
        <f t="array" ref="J67"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7" s="6" t="str" cm="1">
        <f t="array" ref="K67"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7" s="6" t="str" cm="1">
        <f t="array" ref="L67"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7" s="6" t="str" cm="1">
        <f t="array" ref="M67"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7" s="6" t="str" cm="1">
        <f t="array" ref="N67"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7" s="6" t="str" cm="1">
        <f t="array" ref="O67"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7" s="6" t="str" cm="1">
        <f t="array" ref="P67"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7" s="6" t="str" cm="1">
        <f t="array" ref="Q67"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7" s="6" t="str" cm="1">
        <f t="array" ref="R67"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7" s="6" t="str" cm="1">
        <f t="array" ref="S67"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7" s="6" t="str" cm="1">
        <f t="array" ref="T67"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7" s="6" t="str" cm="1">
        <f t="array" ref="U67"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7" s="6" t="str" cm="1">
        <f t="array" ref="V67"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7" s="6" t="str" cm="1">
        <f t="array" ref="W67"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8" spans="2:23" x14ac:dyDescent="0.2">
      <c r="B68" s="8" cm="1">
        <f t="array" ref="B68">ROW(impacts_byYear[[#This Row],[Row]]) - ROW(impacts_byYear[#Headers])</f>
        <v>2</v>
      </c>
      <c r="C68" s="7" t="str">
        <f t="shared" si="1"/>
        <v>Minority</v>
      </c>
      <c r="D68" s="6" t="str">
        <f xml:space="preserve"> IF( ISBLANK( $D$4 ), "", $D$4 )</f>
        <v>CONUS</v>
      </c>
      <c r="E68" s="6" t="str">
        <f t="shared" si="2"/>
        <v/>
      </c>
      <c r="F68" s="6" t="str">
        <f>'Control Panel'!$C37</f>
        <v/>
      </c>
      <c r="G68" s="6" t="str" cm="1">
        <f t="array" ref="G68"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8" s="6" t="str" cm="1">
        <f t="array" ref="H68"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8" s="6" t="str" cm="1">
        <f t="array" ref="I68"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8" s="6" t="str" cm="1">
        <f t="array" ref="J68"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8" s="6" t="str" cm="1">
        <f t="array" ref="K68"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8" s="6" t="str" cm="1">
        <f t="array" ref="L68"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8" s="6" t="str" cm="1">
        <f t="array" ref="M68"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8" s="6" t="str" cm="1">
        <f t="array" ref="N68"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8" s="6" t="str" cm="1">
        <f t="array" ref="O68"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8" s="6" t="str" cm="1">
        <f t="array" ref="P68"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8" s="6" t="str" cm="1">
        <f t="array" ref="Q68"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8" s="6" t="str" cm="1">
        <f t="array" ref="R68"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8" s="6" t="str" cm="1">
        <f t="array" ref="S68"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8" s="6" t="str" cm="1">
        <f t="array" ref="T68"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8" s="6" t="str" cm="1">
        <f t="array" ref="U68"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8" s="6" t="str" cm="1">
        <f t="array" ref="V68"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8" s="6" t="str" cm="1">
        <f t="array" ref="W68"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9" spans="2:23" x14ac:dyDescent="0.2">
      <c r="B69" s="8" cm="1">
        <f t="array" ref="B69">ROW(impacts_byYear[[#This Row],[Row]]) - ROW(impacts_byYear[#Headers])</f>
        <v>3</v>
      </c>
      <c r="C69" s="7" t="str">
        <f t="shared" si="1"/>
        <v>Minority</v>
      </c>
      <c r="D69" s="6" t="str">
        <f xml:space="preserve"> IF( ISBLANK( $D$4 ), "", $D$4 )</f>
        <v>CONUS</v>
      </c>
      <c r="E69" s="6" t="str">
        <f t="shared" si="2"/>
        <v/>
      </c>
      <c r="F69" s="6" t="str">
        <f>'Control Panel'!$C38</f>
        <v/>
      </c>
      <c r="G69" s="6" t="str" cm="1">
        <f t="array" ref="G69"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9" s="6" t="str" cm="1">
        <f t="array" ref="H69"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9" s="6" t="str" cm="1">
        <f t="array" ref="I69"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9" s="6" t="str" cm="1">
        <f t="array" ref="J69"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9" s="6" t="str" cm="1">
        <f t="array" ref="K69"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9" s="6" t="str" cm="1">
        <f t="array" ref="L69"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9" s="6" t="str" cm="1">
        <f t="array" ref="M69"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9" s="6" t="str" cm="1">
        <f t="array" ref="N69"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9" s="6" t="str" cm="1">
        <f t="array" ref="O69"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9" s="6" t="str" cm="1">
        <f t="array" ref="P69"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9" s="6" t="str" cm="1">
        <f t="array" ref="Q69"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9" s="6" t="str" cm="1">
        <f t="array" ref="R69"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9" s="6" t="str" cm="1">
        <f t="array" ref="S69"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9" s="6" t="str" cm="1">
        <f t="array" ref="T69"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9" s="6" t="str" cm="1">
        <f t="array" ref="U69"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9" s="6" t="str" cm="1">
        <f t="array" ref="V69"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9" s="6" t="str" cm="1">
        <f t="array" ref="W69"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0" spans="2:23" x14ac:dyDescent="0.2">
      <c r="B70" s="8" cm="1">
        <f t="array" ref="B70">ROW(impacts_byYear[[#This Row],[Row]]) - ROW(impacts_byYear[#Headers])</f>
        <v>4</v>
      </c>
      <c r="C70" s="7" t="str">
        <f t="shared" si="1"/>
        <v>Minority</v>
      </c>
      <c r="D70" s="6" t="str">
        <f xml:space="preserve"> IF( ISBLANK( $D$4 ), "", $D$4 )</f>
        <v>CONUS</v>
      </c>
      <c r="E70" s="6" t="str">
        <f t="shared" si="2"/>
        <v/>
      </c>
      <c r="F70" s="6" t="str">
        <f>'Control Panel'!$C39</f>
        <v/>
      </c>
      <c r="G70" s="6" t="str" cm="1">
        <f t="array" ref="G70"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70" s="6" t="str" cm="1">
        <f t="array" ref="H70"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70" s="6" t="str" cm="1">
        <f t="array" ref="I70"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70" s="6" t="str" cm="1">
        <f t="array" ref="J70"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70" s="6" t="str" cm="1">
        <f t="array" ref="K70"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70" s="6" t="str" cm="1">
        <f t="array" ref="L70"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70" s="6" t="str" cm="1">
        <f t="array" ref="M70"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70" s="6" t="str" cm="1">
        <f t="array" ref="N70"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70" s="6" t="str" cm="1">
        <f t="array" ref="O70"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70" s="6" t="str" cm="1">
        <f t="array" ref="P70"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70" s="6" t="str" cm="1">
        <f t="array" ref="Q70"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70" s="6" t="str" cm="1">
        <f t="array" ref="R70"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70" s="6" t="str" cm="1">
        <f t="array" ref="S70"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70" s="6" t="str" cm="1">
        <f t="array" ref="T70"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70" s="6" t="str" cm="1">
        <f t="array" ref="U70"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70" s="6" t="str" cm="1">
        <f t="array" ref="V70"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70" s="6" t="str" cm="1">
        <f t="array" ref="W70"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1" spans="2:23" customFormat="1" ht="15" x14ac:dyDescent="0.25"/>
    <row r="72" spans="2:23" customFormat="1" ht="15" x14ac:dyDescent="0.25"/>
    <row r="73" spans="2:23" x14ac:dyDescent="0.2">
      <c r="B73" s="6" t="s">
        <v>41</v>
      </c>
      <c r="C73" s="6" t="s">
        <v>32</v>
      </c>
      <c r="D73" s="6" t="s">
        <v>34</v>
      </c>
      <c r="E73" s="6" t="s">
        <v>37</v>
      </c>
      <c r="F73" s="6" t="s">
        <v>35</v>
      </c>
      <c r="G73" s="6" t="s">
        <v>38</v>
      </c>
      <c r="H73" s="18" t="s">
        <v>58</v>
      </c>
      <c r="I73" s="18" t="s">
        <v>76</v>
      </c>
      <c r="J73" s="18" t="s">
        <v>244</v>
      </c>
    </row>
    <row r="74" spans="2:23" ht="25.5" x14ac:dyDescent="0.2">
      <c r="B74" s="8" cm="1">
        <f t="array" ref="B74" xml:space="preserve"> ROW( impacts_peopleByYear[[#This Row],[Row]] ) - ROW( impacts_peopleByYear[#Headers] )</f>
        <v>1</v>
      </c>
      <c r="C74" s="9" t="s">
        <v>59</v>
      </c>
      <c r="D74" s="6" t="str">
        <f t="shared" ref="D74:D81" si="3" xml:space="preserve"> IF( ISBLANK( $D$29 ), "", $D$29 )</f>
        <v/>
      </c>
      <c r="E74" s="6" t="str">
        <f t="shared" ref="E74:E81" si="4" xml:space="preserve"> IF( ISBLANK( $D$30 ), "", $D$30 )</f>
        <v/>
      </c>
      <c r="F74" s="6" t="str">
        <f t="shared" ref="F74:F81" si="5" xml:space="preserve"> IF( ISBLANK( $D$31 ), "", $D$31 )</f>
        <v>CONUS</v>
      </c>
      <c r="G74" s="6" t="str">
        <f t="shared" ref="G74:G81" si="6" xml:space="preserve"> IF( ISBLANK( $D$32 ), "", $D$32 )</f>
        <v>2050</v>
      </c>
      <c r="H74" s="18" t="str" cm="1">
        <f t="array" ref="H74"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4" s="6" t="str">
        <f xml:space="preserve"> IF( OR( impacts_peopleByYear[[#This Row],[Reference Scenario]] = "", impacts_peopleByYear[[#This Row],[Region]] = "", impacts_peopleByYear[[#This Row],[Year]] = "" ), "",IF(impacts_peopleByYear[[#This Row],[Difference]]&gt;=0,-0.1,0.1) )</f>
        <v/>
      </c>
      <c r="J74" s="38" t="s">
        <v>248</v>
      </c>
    </row>
    <row r="75" spans="2:23" ht="25.5" x14ac:dyDescent="0.2">
      <c r="B75" s="8" cm="1">
        <f t="array" ref="B75" xml:space="preserve"> ROW( impacts_peopleByYear[[#This Row],[Row]] ) - ROW( impacts_peopleByYear[#Headers] )</f>
        <v>2</v>
      </c>
      <c r="C75" s="9" t="s">
        <v>60</v>
      </c>
      <c r="D75" s="6" t="str">
        <f t="shared" si="3"/>
        <v/>
      </c>
      <c r="E75" s="6" t="str">
        <f t="shared" si="4"/>
        <v/>
      </c>
      <c r="F75" s="6" t="str">
        <f t="shared" si="5"/>
        <v>CONUS</v>
      </c>
      <c r="G75" s="6" t="str">
        <f t="shared" si="6"/>
        <v>2050</v>
      </c>
      <c r="H75" s="18" t="str" cm="1">
        <f t="array" ref="H75"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5" s="6" t="str">
        <f xml:space="preserve"> IF( OR( impacts_peopleByYear[[#This Row],[Reference Scenario]] = "", impacts_peopleByYear[[#This Row],[Region]] = "", impacts_peopleByYear[[#This Row],[Year]] = "" ), "",IF(impacts_peopleByYear[[#This Row],[Difference]]&gt;=0,-0.1,0.1) )</f>
        <v/>
      </c>
      <c r="J75" s="38" t="s">
        <v>249</v>
      </c>
    </row>
    <row r="76" spans="2:23" x14ac:dyDescent="0.2">
      <c r="B76" s="8" cm="1">
        <f t="array" ref="B76" xml:space="preserve"> ROW( impacts_peopleByYear[[#This Row],[Row]] ) - ROW( impacts_peopleByYear[#Headers] )</f>
        <v>3</v>
      </c>
      <c r="C76" s="9" t="s">
        <v>61</v>
      </c>
      <c r="D76" s="6" t="str">
        <f t="shared" si="3"/>
        <v/>
      </c>
      <c r="E76" s="6" t="str">
        <f t="shared" si="4"/>
        <v/>
      </c>
      <c r="F76" s="6" t="str">
        <f t="shared" si="5"/>
        <v>CONUS</v>
      </c>
      <c r="G76" s="6" t="str">
        <f t="shared" si="6"/>
        <v>2050</v>
      </c>
      <c r="H76" s="18" t="str" cm="1">
        <f t="array" ref="H76"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6" s="6" t="str">
        <f xml:space="preserve"> IF( OR( impacts_peopleByYear[[#This Row],[Reference Scenario]] = "", impacts_peopleByYear[[#This Row],[Region]] = "", impacts_peopleByYear[[#This Row],[Year]] = "" ), "",IF(impacts_peopleByYear[[#This Row],[Difference]]&gt;=0,-0.1,0.1) )</f>
        <v/>
      </c>
      <c r="J76" s="6" t="s">
        <v>61</v>
      </c>
    </row>
    <row r="77" spans="2:23" x14ac:dyDescent="0.2">
      <c r="B77" s="8" cm="1">
        <f t="array" ref="B77" xml:space="preserve"> ROW( impacts_peopleByYear[[#This Row],[Row]] ) - ROW( impacts_peopleByYear[#Headers] )</f>
        <v>4</v>
      </c>
      <c r="C77" s="9" t="s">
        <v>62</v>
      </c>
      <c r="D77" s="6" t="str">
        <f t="shared" si="3"/>
        <v/>
      </c>
      <c r="E77" s="6" t="str">
        <f t="shared" si="4"/>
        <v/>
      </c>
      <c r="F77" s="6" t="str">
        <f t="shared" si="5"/>
        <v>CONUS</v>
      </c>
      <c r="G77" s="6" t="str">
        <f t="shared" si="6"/>
        <v>2050</v>
      </c>
      <c r="H77" s="18" t="str" cm="1">
        <f t="array" ref="H77"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7" s="6" t="str">
        <f xml:space="preserve"> IF( OR( impacts_peopleByYear[[#This Row],[Reference Scenario]] = "", impacts_peopleByYear[[#This Row],[Region]] = "", impacts_peopleByYear[[#This Row],[Year]] = "" ), "",IF(impacts_peopleByYear[[#This Row],[Difference]]&gt;=0,-0.1,0.1) )</f>
        <v/>
      </c>
      <c r="J77" s="6" t="s">
        <v>62</v>
      </c>
    </row>
    <row r="78" spans="2:23" ht="25.5" x14ac:dyDescent="0.2">
      <c r="B78" s="8" cm="1">
        <f t="array" ref="B78" xml:space="preserve"> ROW( impacts_peopleByYear[[#This Row],[Row]] ) - ROW( impacts_peopleByYear[#Headers] )</f>
        <v>5</v>
      </c>
      <c r="C78" s="9" t="s">
        <v>63</v>
      </c>
      <c r="D78" s="6" t="str">
        <f t="shared" si="3"/>
        <v/>
      </c>
      <c r="E78" s="6" t="str">
        <f t="shared" si="4"/>
        <v/>
      </c>
      <c r="F78" s="6" t="str">
        <f t="shared" si="5"/>
        <v>CONUS</v>
      </c>
      <c r="G78" s="6" t="str">
        <f t="shared" si="6"/>
        <v>2050</v>
      </c>
      <c r="H78" s="18" t="str" cm="1">
        <f t="array" ref="H78"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8" s="6" t="str">
        <f xml:space="preserve"> IF( OR( impacts_peopleByYear[[#This Row],[Reference Scenario]] = "", impacts_peopleByYear[[#This Row],[Region]] = "", impacts_peopleByYear[[#This Row],[Year]] = "" ), "",IF(impacts_peopleByYear[[#This Row],[Difference]]&gt;=0,-0.1,0.1) )</f>
        <v/>
      </c>
      <c r="J78" s="38" t="s">
        <v>245</v>
      </c>
    </row>
    <row r="79" spans="2:23" ht="25.5" x14ac:dyDescent="0.2">
      <c r="B79" s="8" cm="1">
        <f t="array" ref="B79" xml:space="preserve"> ROW( impacts_peopleByYear[[#This Row],[Row]] ) - ROW( impacts_peopleByYear[#Headers] )</f>
        <v>6</v>
      </c>
      <c r="C79" s="9" t="s">
        <v>64</v>
      </c>
      <c r="D79" s="6" t="str">
        <f t="shared" si="3"/>
        <v/>
      </c>
      <c r="E79" s="6" t="str">
        <f t="shared" si="4"/>
        <v/>
      </c>
      <c r="F79" s="6" t="str">
        <f t="shared" si="5"/>
        <v>CONUS</v>
      </c>
      <c r="G79" s="6" t="str">
        <f t="shared" si="6"/>
        <v>2050</v>
      </c>
      <c r="H79" s="18" t="str" cm="1">
        <f t="array" ref="H79"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9" s="6" t="str">
        <f xml:space="preserve"> IF( OR( impacts_peopleByYear[[#This Row],[Reference Scenario]] = "", impacts_peopleByYear[[#This Row],[Region]] = "", impacts_peopleByYear[[#This Row],[Year]] = "" ), "",IF(impacts_peopleByYear[[#This Row],[Difference]]&gt;=0,-0.1,0.1) )</f>
        <v/>
      </c>
      <c r="J79" s="38" t="s">
        <v>247</v>
      </c>
    </row>
    <row r="80" spans="2:23" x14ac:dyDescent="0.2">
      <c r="B80" s="8" cm="1">
        <f t="array" ref="B80" xml:space="preserve"> ROW( impacts_peopleByYear[[#This Row],[Row]] ) - ROW( impacts_peopleByYear[#Headers] )</f>
        <v>7</v>
      </c>
      <c r="C80" s="9" t="s">
        <v>65</v>
      </c>
      <c r="D80" s="6" t="str">
        <f t="shared" si="3"/>
        <v/>
      </c>
      <c r="E80" s="6" t="str">
        <f t="shared" si="4"/>
        <v/>
      </c>
      <c r="F80" s="6" t="str">
        <f t="shared" si="5"/>
        <v>CONUS</v>
      </c>
      <c r="G80" s="6" t="str">
        <f t="shared" si="6"/>
        <v>2050</v>
      </c>
      <c r="H80" s="18" t="str" cm="1">
        <f t="array" ref="H80"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80" s="6" t="str">
        <f xml:space="preserve"> IF( OR( impacts_peopleByYear[[#This Row],[Reference Scenario]] = "", impacts_peopleByYear[[#This Row],[Region]] = "", impacts_peopleByYear[[#This Row],[Year]] = "" ), "",IF(impacts_peopleByYear[[#This Row],[Difference]]&gt;=0,-0.1,0.1) )</f>
        <v/>
      </c>
      <c r="J80" s="6" t="s">
        <v>65</v>
      </c>
    </row>
    <row r="81" spans="2:26" ht="25.5" x14ac:dyDescent="0.2">
      <c r="B81" s="8" cm="1">
        <f t="array" ref="B81" xml:space="preserve"> ROW( impacts_peopleByYear[[#This Row],[Row]] ) - ROW( impacts_peopleByYear[#Headers] )</f>
        <v>8</v>
      </c>
      <c r="C81" s="9" t="s">
        <v>66</v>
      </c>
      <c r="D81" s="6" t="str">
        <f t="shared" si="3"/>
        <v/>
      </c>
      <c r="E81" s="6" t="str">
        <f t="shared" si="4"/>
        <v/>
      </c>
      <c r="F81" s="6" t="str">
        <f t="shared" si="5"/>
        <v>CONUS</v>
      </c>
      <c r="G81" s="6" t="str">
        <f t="shared" si="6"/>
        <v>2050</v>
      </c>
      <c r="H81" s="18" t="str" cm="1">
        <f t="array" ref="H8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81" s="6" t="str">
        <f xml:space="preserve"> IF( OR( impacts_peopleByYear[[#This Row],[Reference Scenario]] = "", impacts_peopleByYear[[#This Row],[Region]] = "", impacts_peopleByYear[[#This Row],[Year]] = "" ), "",IF(impacts_peopleByYear[[#This Row],[Difference]]&gt;=0,-0.1,0.1) )</f>
        <v/>
      </c>
      <c r="J81" s="38" t="s">
        <v>246</v>
      </c>
    </row>
    <row r="84" spans="2:26" x14ac:dyDescent="0.2">
      <c r="B84" s="6" t="s">
        <v>41</v>
      </c>
      <c r="C84" s="6" t="s">
        <v>0</v>
      </c>
      <c r="D84" s="6" t="s">
        <v>67</v>
      </c>
      <c r="E84" s="6" t="s">
        <v>68</v>
      </c>
      <c r="F84" s="6" t="s">
        <v>69</v>
      </c>
      <c r="G84" s="6" t="s">
        <v>70</v>
      </c>
      <c r="H84" s="6" t="s">
        <v>35</v>
      </c>
      <c r="I84" s="6" t="s">
        <v>71</v>
      </c>
      <c r="J84" s="18" t="s">
        <v>42</v>
      </c>
      <c r="K84" s="18" t="s">
        <v>43</v>
      </c>
      <c r="L84" s="18" t="s">
        <v>44</v>
      </c>
      <c r="M84" s="18" t="s">
        <v>45</v>
      </c>
      <c r="N84" s="18" t="s">
        <v>46</v>
      </c>
      <c r="O84" s="18" t="s">
        <v>47</v>
      </c>
      <c r="P84" s="18" t="s">
        <v>48</v>
      </c>
      <c r="Q84" s="18" t="s">
        <v>49</v>
      </c>
      <c r="R84" s="18" t="s">
        <v>39</v>
      </c>
      <c r="S84" s="18" t="s">
        <v>50</v>
      </c>
      <c r="T84" s="18" t="s">
        <v>51</v>
      </c>
      <c r="U84" s="18" t="s">
        <v>52</v>
      </c>
      <c r="V84" s="18" t="s">
        <v>53</v>
      </c>
      <c r="W84" s="18" t="s">
        <v>54</v>
      </c>
      <c r="X84" s="18" t="s">
        <v>55</v>
      </c>
      <c r="Y84" s="18" t="s">
        <v>56</v>
      </c>
      <c r="Z84" s="18" t="s">
        <v>57</v>
      </c>
    </row>
    <row r="85" spans="2:26" x14ac:dyDescent="0.2">
      <c r="B85" s="8" cm="1">
        <f t="array" ref="B85">ROW(impacts_svGroups[[#This Row],[Row]]) - ROW(impacts_svGroups[#Headers])</f>
        <v>1</v>
      </c>
      <c r="C85" s="7" t="str">
        <f t="shared" ref="C85:C100" si="7" xml:space="preserve"> mv_sector</f>
        <v/>
      </c>
      <c r="D85" s="9" t="s">
        <v>23</v>
      </c>
      <c r="E85" s="6" t="str">
        <f>INDEX(SV_Categories[svGroupType],MATCH(impacts_svGroups[[#This Row],[SV Category]],SV_Categories[svGroupLabel],0))</f>
        <v>sv_lowIncome</v>
      </c>
      <c r="F85" s="6" t="str" cm="1">
        <f t="array" ref="F8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5" s="9" t="s">
        <v>72</v>
      </c>
      <c r="H85" s="6" t="str">
        <f t="shared" ref="H85:H116" si="8" xml:space="preserve"> IF( ISBLANK( $D$4 ), "", $D$4 )</f>
        <v>CONUS</v>
      </c>
      <c r="I85" s="6" t="str" cm="1">
        <f t="array" ref="I85" xml:space="preserve"> INDEX( list_scenarios, MOD( impacts_svGroups[[#This Row],[Row]] - 1, n_scenarios ) + 1 )</f>
        <v/>
      </c>
      <c r="J85" s="6" t="str" cm="1">
        <f t="array" ref="J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5" s="6" t="str" cm="1">
        <f t="array" ref="K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5" s="6" t="str" cm="1">
        <f t="array" ref="L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5" s="6" t="str" cm="1">
        <f t="array" ref="M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5" s="6" t="str" cm="1">
        <f t="array" ref="N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5" s="6" t="str" cm="1">
        <f t="array" ref="O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5" s="6" t="str" cm="1">
        <f t="array" ref="P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5" s="6" t="str" cm="1">
        <f t="array" ref="Q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5" s="6" t="str" cm="1">
        <f t="array" ref="R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5" s="6" t="str" cm="1">
        <f t="array" ref="S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5" s="6" t="str" cm="1">
        <f t="array" ref="T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5" s="6" t="str" cm="1">
        <f t="array" ref="U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5" s="6" t="str" cm="1">
        <f t="array" ref="V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5" s="6" t="str" cm="1">
        <f t="array" ref="W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5" s="6" t="str" cm="1">
        <f t="array" ref="X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5" s="6" t="str" cm="1">
        <f t="array" ref="Y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5" s="6" t="str" cm="1">
        <f t="array" ref="Z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6" spans="2:26" x14ac:dyDescent="0.2">
      <c r="B86" s="8" cm="1">
        <f t="array" ref="B86">ROW(impacts_svGroups[[#This Row],[Row]]) - ROW(impacts_svGroups[#Headers])</f>
        <v>2</v>
      </c>
      <c r="C86" s="7" t="str">
        <f t="shared" si="7"/>
        <v/>
      </c>
      <c r="D86" s="9" t="s">
        <v>23</v>
      </c>
      <c r="E86" s="6" t="str">
        <f>INDEX(SV_Categories[svGroupType],MATCH(impacts_svGroups[[#This Row],[SV Category]],SV_Categories[svGroupLabel],0))</f>
        <v>sv_lowIncome</v>
      </c>
      <c r="F86" s="6" t="str" cm="1">
        <f t="array" ref="F8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6" s="9" t="s">
        <v>72</v>
      </c>
      <c r="H86" s="6" t="str">
        <f t="shared" si="8"/>
        <v>CONUS</v>
      </c>
      <c r="I86" s="6" t="str" cm="1">
        <f t="array" ref="I86" xml:space="preserve"> INDEX( list_scenarios, MOD( impacts_svGroups[[#This Row],[Row]] - 1, n_scenarios ) + 1 )</f>
        <v/>
      </c>
      <c r="J86" s="6" t="str" cm="1">
        <f t="array" ref="J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6" s="6" t="str" cm="1">
        <f t="array" ref="K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6" s="6" t="str" cm="1">
        <f t="array" ref="L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6" s="6" t="str" cm="1">
        <f t="array" ref="M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6" s="6" t="str" cm="1">
        <f t="array" ref="N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6" s="6" t="str" cm="1">
        <f t="array" ref="O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6" s="6" t="str" cm="1">
        <f t="array" ref="P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6" s="6" t="str" cm="1">
        <f t="array" ref="Q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6" s="6" t="str" cm="1">
        <f t="array" ref="R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6" s="6" t="str" cm="1">
        <f t="array" ref="S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6" s="6" t="str" cm="1">
        <f t="array" ref="T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6" s="6" t="str" cm="1">
        <f t="array" ref="U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6" s="6" t="str" cm="1">
        <f t="array" ref="V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6" s="6" t="str" cm="1">
        <f t="array" ref="W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6" s="6" t="str" cm="1">
        <f t="array" ref="X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6" s="6" t="str" cm="1">
        <f t="array" ref="Y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6" s="6" t="str" cm="1">
        <f t="array" ref="Z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7" spans="2:26" x14ac:dyDescent="0.2">
      <c r="B87" s="8" cm="1">
        <f t="array" ref="B87">ROW(impacts_svGroups[[#This Row],[Row]]) - ROW(impacts_svGroups[#Headers])</f>
        <v>3</v>
      </c>
      <c r="C87" s="7" t="str">
        <f t="shared" si="7"/>
        <v/>
      </c>
      <c r="D87" s="9" t="s">
        <v>23</v>
      </c>
      <c r="E87" s="6" t="str">
        <f>INDEX(SV_Categories[svGroupType],MATCH(impacts_svGroups[[#This Row],[SV Category]],SV_Categories[svGroupLabel],0))</f>
        <v>sv_lowIncome</v>
      </c>
      <c r="F87" s="6" t="str" cm="1">
        <f t="array" ref="F8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7" s="9" t="s">
        <v>72</v>
      </c>
      <c r="H87" s="6" t="str">
        <f t="shared" si="8"/>
        <v>CONUS</v>
      </c>
      <c r="I87" s="6" t="str" cm="1">
        <f t="array" ref="I87" xml:space="preserve"> INDEX( list_scenarios, MOD( impacts_svGroups[[#This Row],[Row]] - 1, n_scenarios ) + 1 )</f>
        <v/>
      </c>
      <c r="J87" s="6" t="str" cm="1">
        <f t="array" ref="J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7" s="6" t="str" cm="1">
        <f t="array" ref="K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7" s="6" t="str" cm="1">
        <f t="array" ref="L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7" s="6" t="str" cm="1">
        <f t="array" ref="M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7" s="6" t="str" cm="1">
        <f t="array" ref="N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7" s="6" t="str" cm="1">
        <f t="array" ref="O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7" s="6" t="str" cm="1">
        <f t="array" ref="P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7" s="6" t="str" cm="1">
        <f t="array" ref="Q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7" s="6" t="str" cm="1">
        <f t="array" ref="R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7" s="6" t="str" cm="1">
        <f t="array" ref="S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7" s="6" t="str" cm="1">
        <f t="array" ref="T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7" s="6" t="str" cm="1">
        <f t="array" ref="U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7" s="6" t="str" cm="1">
        <f t="array" ref="V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7" s="6" t="str" cm="1">
        <f t="array" ref="W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7" s="6" t="str" cm="1">
        <f t="array" ref="X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7" s="6" t="str" cm="1">
        <f t="array" ref="Y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7" s="6" t="str" cm="1">
        <f t="array" ref="Z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8" spans="2:26" x14ac:dyDescent="0.2">
      <c r="B88" s="8" cm="1">
        <f t="array" ref="B88">ROW(impacts_svGroups[[#This Row],[Row]]) - ROW(impacts_svGroups[#Headers])</f>
        <v>4</v>
      </c>
      <c r="C88" s="7" t="str">
        <f t="shared" si="7"/>
        <v/>
      </c>
      <c r="D88" s="9" t="s">
        <v>23</v>
      </c>
      <c r="E88" s="6" t="str">
        <f>INDEX(SV_Categories[svGroupType],MATCH(impacts_svGroups[[#This Row],[SV Category]],SV_Categories[svGroupLabel],0))</f>
        <v>sv_lowIncome</v>
      </c>
      <c r="F88" s="6" t="str" cm="1">
        <f t="array" ref="F8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8" s="9" t="s">
        <v>72</v>
      </c>
      <c r="H88" s="6" t="str">
        <f t="shared" si="8"/>
        <v>CONUS</v>
      </c>
      <c r="I88" s="6" t="str" cm="1">
        <f t="array" ref="I88" xml:space="preserve"> INDEX( list_scenarios, MOD( impacts_svGroups[[#This Row],[Row]] - 1, n_scenarios ) + 1 )</f>
        <v/>
      </c>
      <c r="J88" s="6" t="str" cm="1">
        <f t="array" ref="J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8" s="6" t="str" cm="1">
        <f t="array" ref="K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8" s="6" t="str" cm="1">
        <f t="array" ref="L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8" s="6" t="str" cm="1">
        <f t="array" ref="M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8" s="6" t="str" cm="1">
        <f t="array" ref="N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8" s="6" t="str" cm="1">
        <f t="array" ref="O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8" s="6" t="str" cm="1">
        <f t="array" ref="P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8" s="6" t="str" cm="1">
        <f t="array" ref="Q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8" s="6" t="str" cm="1">
        <f t="array" ref="R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8" s="6" t="str" cm="1">
        <f t="array" ref="S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8" s="6" t="str" cm="1">
        <f t="array" ref="T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8" s="6" t="str" cm="1">
        <f t="array" ref="U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8" s="6" t="str" cm="1">
        <f t="array" ref="V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8" s="6" t="str" cm="1">
        <f t="array" ref="W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8" s="6" t="str" cm="1">
        <f t="array" ref="X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8" s="6" t="str" cm="1">
        <f t="array" ref="Y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8" s="6" t="str" cm="1">
        <f t="array" ref="Z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9" spans="2:26" x14ac:dyDescent="0.2">
      <c r="B89" s="8" cm="1">
        <f t="array" ref="B89">ROW(impacts_svGroups[[#This Row],[Row]]) - ROW(impacts_svGroups[#Headers])</f>
        <v>5</v>
      </c>
      <c r="C89" s="7" t="str">
        <f t="shared" si="7"/>
        <v/>
      </c>
      <c r="D89" s="9" t="s">
        <v>33</v>
      </c>
      <c r="E89" s="6" t="str">
        <f>INDEX(SV_Categories[svGroupType],MATCH(impacts_svGroups[[#This Row],[SV Category]],SV_Categories[svGroupLabel],0))</f>
        <v>sv_minority</v>
      </c>
      <c r="F89" s="6" t="str" cm="1">
        <f t="array" ref="F8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9" s="9" t="s">
        <v>72</v>
      </c>
      <c r="H89" s="6" t="str">
        <f t="shared" si="8"/>
        <v>CONUS</v>
      </c>
      <c r="I89" s="6" t="str" cm="1">
        <f t="array" ref="I89" xml:space="preserve"> INDEX( list_scenarios, MOD( impacts_svGroups[[#This Row],[Row]] - 1, n_scenarios ) + 1 )</f>
        <v/>
      </c>
      <c r="J89" s="6" t="str" cm="1">
        <f t="array" ref="J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9" s="6" t="str" cm="1">
        <f t="array" ref="K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9" s="6" t="str" cm="1">
        <f t="array" ref="L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9" s="6" t="str" cm="1">
        <f t="array" ref="M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9" s="6" t="str" cm="1">
        <f t="array" ref="N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9" s="6" t="str" cm="1">
        <f t="array" ref="O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9" s="6" t="str" cm="1">
        <f t="array" ref="P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9" s="6" t="str" cm="1">
        <f t="array" ref="Q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9" s="6" t="str" cm="1">
        <f t="array" ref="R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9" s="6" t="str" cm="1">
        <f t="array" ref="S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9" s="6" t="str" cm="1">
        <f t="array" ref="T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9" s="6" t="str" cm="1">
        <f t="array" ref="U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9" s="6" t="str" cm="1">
        <f t="array" ref="V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9" s="6" t="str" cm="1">
        <f t="array" ref="W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9" s="6" t="str" cm="1">
        <f t="array" ref="X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9" s="6" t="str" cm="1">
        <f t="array" ref="Y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9" s="6" t="str" cm="1">
        <f t="array" ref="Z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0" spans="2:26" x14ac:dyDescent="0.2">
      <c r="B90" s="8" cm="1">
        <f t="array" ref="B90">ROW(impacts_svGroups[[#This Row],[Row]]) - ROW(impacts_svGroups[#Headers])</f>
        <v>6</v>
      </c>
      <c r="C90" s="7" t="str">
        <f t="shared" si="7"/>
        <v/>
      </c>
      <c r="D90" s="9" t="s">
        <v>33</v>
      </c>
      <c r="E90" s="6" t="str">
        <f>INDEX(SV_Categories[svGroupType],MATCH(impacts_svGroups[[#This Row],[SV Category]],SV_Categories[svGroupLabel],0))</f>
        <v>sv_minority</v>
      </c>
      <c r="F90" s="6" t="str" cm="1">
        <f t="array" ref="F9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0" s="9" t="s">
        <v>72</v>
      </c>
      <c r="H90" s="6" t="str">
        <f t="shared" si="8"/>
        <v>CONUS</v>
      </c>
      <c r="I90" s="6" t="str" cm="1">
        <f t="array" ref="I90" xml:space="preserve"> INDEX( list_scenarios, MOD( impacts_svGroups[[#This Row],[Row]] - 1, n_scenarios ) + 1 )</f>
        <v/>
      </c>
      <c r="J90" s="6" t="str" cm="1">
        <f t="array" ref="J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0" s="6" t="str" cm="1">
        <f t="array" ref="K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0" s="6" t="str" cm="1">
        <f t="array" ref="L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0" s="6" t="str" cm="1">
        <f t="array" ref="M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0" s="6" t="str" cm="1">
        <f t="array" ref="N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0" s="6" t="str" cm="1">
        <f t="array" ref="O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0" s="6" t="str" cm="1">
        <f t="array" ref="P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0" s="6" t="str" cm="1">
        <f t="array" ref="Q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0" s="6" t="str" cm="1">
        <f t="array" ref="R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0" s="6" t="str" cm="1">
        <f t="array" ref="S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0" s="6" t="str" cm="1">
        <f t="array" ref="T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0" s="6" t="str" cm="1">
        <f t="array" ref="U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0" s="6" t="str" cm="1">
        <f t="array" ref="V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0" s="6" t="str" cm="1">
        <f t="array" ref="W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0" s="6" t="str" cm="1">
        <f t="array" ref="X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0" s="6" t="str" cm="1">
        <f t="array" ref="Y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0" s="6" t="str" cm="1">
        <f t="array" ref="Z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1" spans="2:26" x14ac:dyDescent="0.2">
      <c r="B91" s="8" cm="1">
        <f t="array" ref="B91">ROW(impacts_svGroups[[#This Row],[Row]]) - ROW(impacts_svGroups[#Headers])</f>
        <v>7</v>
      </c>
      <c r="C91" s="7" t="str">
        <f t="shared" si="7"/>
        <v/>
      </c>
      <c r="D91" s="9" t="s">
        <v>33</v>
      </c>
      <c r="E91" s="6" t="str">
        <f>INDEX(SV_Categories[svGroupType],MATCH(impacts_svGroups[[#This Row],[SV Category]],SV_Categories[svGroupLabel],0))</f>
        <v>sv_minority</v>
      </c>
      <c r="F91" s="6" t="str" cm="1">
        <f t="array" ref="F9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1" s="9" t="s">
        <v>72</v>
      </c>
      <c r="H91" s="6" t="str">
        <f t="shared" si="8"/>
        <v>CONUS</v>
      </c>
      <c r="I91" s="6" t="str" cm="1">
        <f t="array" ref="I91" xml:space="preserve"> INDEX( list_scenarios, MOD( impacts_svGroups[[#This Row],[Row]] - 1, n_scenarios ) + 1 )</f>
        <v/>
      </c>
      <c r="J91" s="6" t="str" cm="1">
        <f t="array" ref="J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1" s="6" t="str" cm="1">
        <f t="array" ref="K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1" s="6" t="str" cm="1">
        <f t="array" ref="L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1" s="6" t="str" cm="1">
        <f t="array" ref="M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1" s="6" t="str" cm="1">
        <f t="array" ref="N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1" s="6" t="str" cm="1">
        <f t="array" ref="O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1" s="6" t="str" cm="1">
        <f t="array" ref="P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1" s="6" t="str" cm="1">
        <f t="array" ref="Q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1" s="6" t="str" cm="1">
        <f t="array" ref="R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1" s="6" t="str" cm="1">
        <f t="array" ref="S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1" s="6" t="str" cm="1">
        <f t="array" ref="T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1" s="6" t="str" cm="1">
        <f t="array" ref="U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1" s="6" t="str" cm="1">
        <f t="array" ref="V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1" s="6" t="str" cm="1">
        <f t="array" ref="W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1" s="6" t="str" cm="1">
        <f t="array" ref="X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1" s="6" t="str" cm="1">
        <f t="array" ref="Y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1" s="6" t="str" cm="1">
        <f t="array" ref="Z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2" spans="2:26" x14ac:dyDescent="0.2">
      <c r="B92" s="8" cm="1">
        <f t="array" ref="B92">ROW(impacts_svGroups[[#This Row],[Row]]) - ROW(impacts_svGroups[#Headers])</f>
        <v>8</v>
      </c>
      <c r="C92" s="7" t="str">
        <f t="shared" si="7"/>
        <v/>
      </c>
      <c r="D92" s="9" t="s">
        <v>33</v>
      </c>
      <c r="E92" s="6" t="str">
        <f>INDEX(SV_Categories[svGroupType],MATCH(impacts_svGroups[[#This Row],[SV Category]],SV_Categories[svGroupLabel],0))</f>
        <v>sv_minority</v>
      </c>
      <c r="F92" s="6" t="str" cm="1">
        <f t="array" ref="F9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2" s="9" t="s">
        <v>72</v>
      </c>
      <c r="H92" s="6" t="str">
        <f t="shared" si="8"/>
        <v>CONUS</v>
      </c>
      <c r="I92" s="6" t="str" cm="1">
        <f t="array" ref="I92" xml:space="preserve"> INDEX( list_scenarios, MOD( impacts_svGroups[[#This Row],[Row]] - 1, n_scenarios ) + 1 )</f>
        <v/>
      </c>
      <c r="J92" s="6" t="str" cm="1">
        <f t="array" ref="J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2" s="6" t="str" cm="1">
        <f t="array" ref="K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2" s="6" t="str" cm="1">
        <f t="array" ref="L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2" s="6" t="str" cm="1">
        <f t="array" ref="M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2" s="6" t="str" cm="1">
        <f t="array" ref="N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2" s="6" t="str" cm="1">
        <f t="array" ref="O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2" s="6" t="str" cm="1">
        <f t="array" ref="P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2" s="6" t="str" cm="1">
        <f t="array" ref="Q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2" s="6" t="str" cm="1">
        <f t="array" ref="R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2" s="6" t="str" cm="1">
        <f t="array" ref="S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2" s="6" t="str" cm="1">
        <f t="array" ref="T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2" s="6" t="str" cm="1">
        <f t="array" ref="U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2" s="6" t="str" cm="1">
        <f t="array" ref="V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2" s="6" t="str" cm="1">
        <f t="array" ref="W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2" s="6" t="str" cm="1">
        <f t="array" ref="X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2" s="6" t="str" cm="1">
        <f t="array" ref="Y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2" s="6" t="str" cm="1">
        <f t="array" ref="Z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3" spans="2:26" x14ac:dyDescent="0.2">
      <c r="B93" s="8" cm="1">
        <f t="array" ref="B93">ROW(impacts_svGroups[[#This Row],[Row]]) - ROW(impacts_svGroups[#Headers])</f>
        <v>9</v>
      </c>
      <c r="C93" s="7" t="str">
        <f t="shared" si="7"/>
        <v/>
      </c>
      <c r="D93" s="9" t="s">
        <v>27</v>
      </c>
      <c r="E93" s="6" t="str">
        <f>INDEX(SV_Categories[svGroupType],MATCH(impacts_svGroups[[#This Row],[SV Category]],SV_Categories[svGroupLabel],0))</f>
        <v>sv_noHS</v>
      </c>
      <c r="F93" s="6" t="str" cm="1">
        <f t="array" ref="F9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3" s="9" t="s">
        <v>72</v>
      </c>
      <c r="H93" s="6" t="str">
        <f t="shared" si="8"/>
        <v>CONUS</v>
      </c>
      <c r="I93" s="6" t="str" cm="1">
        <f t="array" ref="I93" xml:space="preserve"> INDEX( list_scenarios, MOD( impacts_svGroups[[#This Row],[Row]] - 1, n_scenarios ) + 1 )</f>
        <v/>
      </c>
      <c r="J93" s="6" t="str" cm="1">
        <f t="array" ref="J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3" s="6" t="str" cm="1">
        <f t="array" ref="K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3" s="6" t="str" cm="1">
        <f t="array" ref="L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3" s="6" t="str" cm="1">
        <f t="array" ref="M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3" s="6" t="str" cm="1">
        <f t="array" ref="N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3" s="6" t="str" cm="1">
        <f t="array" ref="O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3" s="6" t="str" cm="1">
        <f t="array" ref="P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3" s="6" t="str" cm="1">
        <f t="array" ref="Q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3" s="6" t="str" cm="1">
        <f t="array" ref="R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3" s="6" t="str" cm="1">
        <f t="array" ref="S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3" s="6" t="str" cm="1">
        <f t="array" ref="T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3" s="6" t="str" cm="1">
        <f t="array" ref="U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3" s="6" t="str" cm="1">
        <f t="array" ref="V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3" s="6" t="str" cm="1">
        <f t="array" ref="W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3" s="6" t="str" cm="1">
        <f t="array" ref="X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3" s="6" t="str" cm="1">
        <f t="array" ref="Y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3" s="6" t="str" cm="1">
        <f t="array" ref="Z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4" spans="2:26" x14ac:dyDescent="0.2">
      <c r="B94" s="8" cm="1">
        <f t="array" ref="B94">ROW(impacts_svGroups[[#This Row],[Row]]) - ROW(impacts_svGroups[#Headers])</f>
        <v>10</v>
      </c>
      <c r="C94" s="7" t="str">
        <f t="shared" si="7"/>
        <v/>
      </c>
      <c r="D94" s="9" t="s">
        <v>27</v>
      </c>
      <c r="E94" s="6" t="str">
        <f>INDEX(SV_Categories[svGroupType],MATCH(impacts_svGroups[[#This Row],[SV Category]],SV_Categories[svGroupLabel],0))</f>
        <v>sv_noHS</v>
      </c>
      <c r="F94" s="6" t="str" cm="1">
        <f t="array" ref="F9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4" s="9" t="s">
        <v>72</v>
      </c>
      <c r="H94" s="6" t="str">
        <f t="shared" si="8"/>
        <v>CONUS</v>
      </c>
      <c r="I94" s="6" t="str" cm="1">
        <f t="array" ref="I94" xml:space="preserve"> INDEX( list_scenarios, MOD( impacts_svGroups[[#This Row],[Row]] - 1, n_scenarios ) + 1 )</f>
        <v/>
      </c>
      <c r="J94" s="6" t="str" cm="1">
        <f t="array" ref="J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4" s="6" t="str" cm="1">
        <f t="array" ref="K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4" s="6" t="str" cm="1">
        <f t="array" ref="L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4" s="6" t="str" cm="1">
        <f t="array" ref="M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4" s="6" t="str" cm="1">
        <f t="array" ref="N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4" s="6" t="str" cm="1">
        <f t="array" ref="O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4" s="6" t="str" cm="1">
        <f t="array" ref="P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4" s="6" t="str" cm="1">
        <f t="array" ref="Q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4" s="6" t="str" cm="1">
        <f t="array" ref="R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4" s="6" t="str" cm="1">
        <f t="array" ref="S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4" s="6" t="str" cm="1">
        <f t="array" ref="T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4" s="6" t="str" cm="1">
        <f t="array" ref="U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4" s="6" t="str" cm="1">
        <f t="array" ref="V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4" s="6" t="str" cm="1">
        <f t="array" ref="W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4" s="6" t="str" cm="1">
        <f t="array" ref="X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4" s="6" t="str" cm="1">
        <f t="array" ref="Y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4" s="6" t="str" cm="1">
        <f t="array" ref="Z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5" spans="2:26" x14ac:dyDescent="0.2">
      <c r="B95" s="8" cm="1">
        <f t="array" ref="B95">ROW(impacts_svGroups[[#This Row],[Row]]) - ROW(impacts_svGroups[#Headers])</f>
        <v>11</v>
      </c>
      <c r="C95" s="7" t="str">
        <f t="shared" si="7"/>
        <v/>
      </c>
      <c r="D95" s="9" t="s">
        <v>27</v>
      </c>
      <c r="E95" s="6" t="str">
        <f>INDEX(SV_Categories[svGroupType],MATCH(impacts_svGroups[[#This Row],[SV Category]],SV_Categories[svGroupLabel],0))</f>
        <v>sv_noHS</v>
      </c>
      <c r="F95" s="6" t="str" cm="1">
        <f t="array" ref="F9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5" s="9" t="s">
        <v>72</v>
      </c>
      <c r="H95" s="6" t="str">
        <f t="shared" si="8"/>
        <v>CONUS</v>
      </c>
      <c r="I95" s="6" t="str" cm="1">
        <f t="array" ref="I95" xml:space="preserve"> INDEX( list_scenarios, MOD( impacts_svGroups[[#This Row],[Row]] - 1, n_scenarios ) + 1 )</f>
        <v/>
      </c>
      <c r="J95" s="6" t="str" cm="1">
        <f t="array" ref="J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5" s="6" t="str" cm="1">
        <f t="array" ref="K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5" s="6" t="str" cm="1">
        <f t="array" ref="L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5" s="6" t="str" cm="1">
        <f t="array" ref="M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5" s="6" t="str" cm="1">
        <f t="array" ref="N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5" s="6" t="str" cm="1">
        <f t="array" ref="O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5" s="6" t="str" cm="1">
        <f t="array" ref="P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5" s="6" t="str" cm="1">
        <f t="array" ref="Q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5" s="6" t="str" cm="1">
        <f t="array" ref="R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5" s="6" t="str" cm="1">
        <f t="array" ref="S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5" s="6" t="str" cm="1">
        <f t="array" ref="T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5" s="6" t="str" cm="1">
        <f t="array" ref="U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5" s="6" t="str" cm="1">
        <f t="array" ref="V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5" s="6" t="str" cm="1">
        <f t="array" ref="W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5" s="6" t="str" cm="1">
        <f t="array" ref="X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5" s="6" t="str" cm="1">
        <f t="array" ref="Y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5" s="6" t="str" cm="1">
        <f t="array" ref="Z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6" spans="2:26" x14ac:dyDescent="0.2">
      <c r="B96" s="8" cm="1">
        <f t="array" ref="B96">ROW(impacts_svGroups[[#This Row],[Row]]) - ROW(impacts_svGroups[#Headers])</f>
        <v>12</v>
      </c>
      <c r="C96" s="7" t="str">
        <f t="shared" si="7"/>
        <v/>
      </c>
      <c r="D96" s="9" t="s">
        <v>27</v>
      </c>
      <c r="E96" s="6" t="str">
        <f>INDEX(SV_Categories[svGroupType],MATCH(impacts_svGroups[[#This Row],[SV Category]],SV_Categories[svGroupLabel],0))</f>
        <v>sv_noHS</v>
      </c>
      <c r="F96" s="6" t="str" cm="1">
        <f t="array" ref="F9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6" s="9" t="s">
        <v>72</v>
      </c>
      <c r="H96" s="6" t="str">
        <f t="shared" si="8"/>
        <v>CONUS</v>
      </c>
      <c r="I96" s="6" t="str" cm="1">
        <f t="array" ref="I96" xml:space="preserve"> INDEX( list_scenarios, MOD( impacts_svGroups[[#This Row],[Row]] - 1, n_scenarios ) + 1 )</f>
        <v/>
      </c>
      <c r="J96" s="6" t="str" cm="1">
        <f t="array" ref="J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6" s="6" t="str" cm="1">
        <f t="array" ref="K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6" s="6" t="str" cm="1">
        <f t="array" ref="L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6" s="6" t="str" cm="1">
        <f t="array" ref="M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6" s="6" t="str" cm="1">
        <f t="array" ref="N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6" s="6" t="str" cm="1">
        <f t="array" ref="O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6" s="6" t="str" cm="1">
        <f t="array" ref="P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6" s="6" t="str" cm="1">
        <f t="array" ref="Q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6" s="6" t="str" cm="1">
        <f t="array" ref="R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6" s="6" t="str" cm="1">
        <f t="array" ref="S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6" s="6" t="str" cm="1">
        <f t="array" ref="T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6" s="6" t="str" cm="1">
        <f t="array" ref="U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6" s="6" t="str" cm="1">
        <f t="array" ref="V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6" s="6" t="str" cm="1">
        <f t="array" ref="W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6" s="6" t="str" cm="1">
        <f t="array" ref="X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6" s="6" t="str" cm="1">
        <f t="array" ref="Y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6" s="6" t="str" cm="1">
        <f t="array" ref="Z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7" spans="2:26" x14ac:dyDescent="0.2">
      <c r="B97" s="8" cm="1">
        <f t="array" ref="B97">ROW(impacts_svGroups[[#This Row],[Row]]) - ROW(impacts_svGroups[#Headers])</f>
        <v>13</v>
      </c>
      <c r="C97" s="7" t="str">
        <f t="shared" si="7"/>
        <v/>
      </c>
      <c r="D97" s="9" t="s">
        <v>29</v>
      </c>
      <c r="E97" s="6" t="str">
        <f>INDEX(SV_Categories[svGroupType],MATCH(impacts_svGroups[[#This Row],[SV Category]],SV_Categories[svGroupLabel],0))</f>
        <v>sv_plus65</v>
      </c>
      <c r="F97" s="6" t="str" cm="1">
        <f t="array" ref="F9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7" s="9" t="s">
        <v>72</v>
      </c>
      <c r="H97" s="6" t="str">
        <f t="shared" si="8"/>
        <v>CONUS</v>
      </c>
      <c r="I97" s="6" t="str" cm="1">
        <f t="array" ref="I97" xml:space="preserve"> INDEX( list_scenarios, MOD( impacts_svGroups[[#This Row],[Row]] - 1, n_scenarios ) + 1 )</f>
        <v/>
      </c>
      <c r="J97" s="6" t="str" cm="1">
        <f t="array" ref="J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7" s="6" t="str" cm="1">
        <f t="array" ref="K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7" s="6" t="str" cm="1">
        <f t="array" ref="L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7" s="6" t="str" cm="1">
        <f t="array" ref="M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7" s="6" t="str" cm="1">
        <f t="array" ref="N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7" s="6" t="str" cm="1">
        <f t="array" ref="O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7" s="6" t="str" cm="1">
        <f t="array" ref="P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7" s="6" t="str" cm="1">
        <f t="array" ref="Q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7" s="6" t="str" cm="1">
        <f t="array" ref="R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7" s="6" t="str" cm="1">
        <f t="array" ref="S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7" s="6" t="str" cm="1">
        <f t="array" ref="T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7" s="6" t="str" cm="1">
        <f t="array" ref="U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7" s="6" t="str" cm="1">
        <f t="array" ref="V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7" s="6" t="str" cm="1">
        <f t="array" ref="W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7" s="6" t="str" cm="1">
        <f t="array" ref="X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7" s="6" t="str" cm="1">
        <f t="array" ref="Y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7" s="6" t="str" cm="1">
        <f t="array" ref="Z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8" spans="2:26" x14ac:dyDescent="0.2">
      <c r="B98" s="8" cm="1">
        <f t="array" ref="B98">ROW(impacts_svGroups[[#This Row],[Row]]) - ROW(impacts_svGroups[#Headers])</f>
        <v>14</v>
      </c>
      <c r="C98" s="7" t="str">
        <f t="shared" si="7"/>
        <v/>
      </c>
      <c r="D98" s="9" t="s">
        <v>29</v>
      </c>
      <c r="E98" s="6" t="str">
        <f>INDEX(SV_Categories[svGroupType],MATCH(impacts_svGroups[[#This Row],[SV Category]],SV_Categories[svGroupLabel],0))</f>
        <v>sv_plus65</v>
      </c>
      <c r="F98" s="6" t="str" cm="1">
        <f t="array" ref="F9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8" s="9" t="s">
        <v>72</v>
      </c>
      <c r="H98" s="6" t="str">
        <f t="shared" si="8"/>
        <v>CONUS</v>
      </c>
      <c r="I98" s="6" t="str" cm="1">
        <f t="array" ref="I98" xml:space="preserve"> INDEX( list_scenarios, MOD( impacts_svGroups[[#This Row],[Row]] - 1, n_scenarios ) + 1 )</f>
        <v/>
      </c>
      <c r="J98" s="6" t="str" cm="1">
        <f t="array" ref="J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8" s="6" t="str" cm="1">
        <f t="array" ref="K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8" s="6" t="str" cm="1">
        <f t="array" ref="L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8" s="6" t="str" cm="1">
        <f t="array" ref="M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8" s="6" t="str" cm="1">
        <f t="array" ref="N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8" s="6" t="str" cm="1">
        <f t="array" ref="O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8" s="6" t="str" cm="1">
        <f t="array" ref="P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8" s="6" t="str" cm="1">
        <f t="array" ref="Q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8" s="6" t="str" cm="1">
        <f t="array" ref="R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8" s="6" t="str" cm="1">
        <f t="array" ref="S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8" s="6" t="str" cm="1">
        <f t="array" ref="T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8" s="6" t="str" cm="1">
        <f t="array" ref="U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8" s="6" t="str" cm="1">
        <f t="array" ref="V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8" s="6" t="str" cm="1">
        <f t="array" ref="W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8" s="6" t="str" cm="1">
        <f t="array" ref="X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8" s="6" t="str" cm="1">
        <f t="array" ref="Y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8" s="6" t="str" cm="1">
        <f t="array" ref="Z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9" spans="2:26" x14ac:dyDescent="0.2">
      <c r="B99" s="8" cm="1">
        <f t="array" ref="B99">ROW(impacts_svGroups[[#This Row],[Row]]) - ROW(impacts_svGroups[#Headers])</f>
        <v>15</v>
      </c>
      <c r="C99" s="7" t="str">
        <f t="shared" si="7"/>
        <v/>
      </c>
      <c r="D99" s="9" t="s">
        <v>29</v>
      </c>
      <c r="E99" s="6" t="str">
        <f>INDEX(SV_Categories[svGroupType],MATCH(impacts_svGroups[[#This Row],[SV Category]],SV_Categories[svGroupLabel],0))</f>
        <v>sv_plus65</v>
      </c>
      <c r="F99" s="6" t="str" cm="1">
        <f t="array" ref="F9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9" s="9" t="s">
        <v>72</v>
      </c>
      <c r="H99" s="6" t="str">
        <f t="shared" si="8"/>
        <v>CONUS</v>
      </c>
      <c r="I99" s="6" t="str" cm="1">
        <f t="array" ref="I99" xml:space="preserve"> INDEX( list_scenarios, MOD( impacts_svGroups[[#This Row],[Row]] - 1, n_scenarios ) + 1 )</f>
        <v/>
      </c>
      <c r="J99" s="6" t="str" cm="1">
        <f t="array" ref="J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9" s="6" t="str" cm="1">
        <f t="array" ref="K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9" s="6" t="str" cm="1">
        <f t="array" ref="L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9" s="6" t="str" cm="1">
        <f t="array" ref="M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9" s="6" t="str" cm="1">
        <f t="array" ref="N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9" s="6" t="str" cm="1">
        <f t="array" ref="O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9" s="6" t="str" cm="1">
        <f t="array" ref="P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9" s="6" t="str" cm="1">
        <f t="array" ref="Q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9" s="6" t="str" cm="1">
        <f t="array" ref="R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9" s="6" t="str" cm="1">
        <f t="array" ref="S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9" s="6" t="str" cm="1">
        <f t="array" ref="T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9" s="6" t="str" cm="1">
        <f t="array" ref="U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9" s="6" t="str" cm="1">
        <f t="array" ref="V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9" s="6" t="str" cm="1">
        <f t="array" ref="W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9" s="6" t="str" cm="1">
        <f t="array" ref="X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9" s="6" t="str" cm="1">
        <f t="array" ref="Y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9" s="6" t="str" cm="1">
        <f t="array" ref="Z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0" spans="2:26" x14ac:dyDescent="0.2">
      <c r="B100" s="8" cm="1">
        <f t="array" ref="B100">ROW(impacts_svGroups[[#This Row],[Row]]) - ROW(impacts_svGroups[#Headers])</f>
        <v>16</v>
      </c>
      <c r="C100" s="7" t="str">
        <f t="shared" si="7"/>
        <v/>
      </c>
      <c r="D100" s="9" t="s">
        <v>29</v>
      </c>
      <c r="E100" s="6" t="str">
        <f>INDEX(SV_Categories[svGroupType],MATCH(impacts_svGroups[[#This Row],[SV Category]],SV_Categories[svGroupLabel],0))</f>
        <v>sv_plus65</v>
      </c>
      <c r="F100" s="6" t="str" cm="1">
        <f t="array" ref="F10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0" s="9" t="s">
        <v>72</v>
      </c>
      <c r="H100" s="6" t="str">
        <f t="shared" si="8"/>
        <v>CONUS</v>
      </c>
      <c r="I100" s="6" t="str" cm="1">
        <f t="array" ref="I100" xml:space="preserve"> INDEX( list_scenarios, MOD( impacts_svGroups[[#This Row],[Row]] - 1, n_scenarios ) + 1 )</f>
        <v/>
      </c>
      <c r="J100" s="6" t="str" cm="1">
        <f t="array" ref="J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0" s="6" t="str" cm="1">
        <f t="array" ref="K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0" s="6" t="str" cm="1">
        <f t="array" ref="L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0" s="6" t="str" cm="1">
        <f t="array" ref="M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0" s="6" t="str" cm="1">
        <f t="array" ref="N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0" s="6" t="str" cm="1">
        <f t="array" ref="O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0" s="6" t="str" cm="1">
        <f t="array" ref="P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0" s="6" t="str" cm="1">
        <f t="array" ref="Q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0" s="6" t="str" cm="1">
        <f t="array" ref="R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0" s="6" t="str" cm="1">
        <f t="array" ref="S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0" s="6" t="str" cm="1">
        <f t="array" ref="T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0" s="6" t="str" cm="1">
        <f t="array" ref="U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0" s="6" t="str" cm="1">
        <f t="array" ref="V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0" s="6" t="str" cm="1">
        <f t="array" ref="W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0" s="6" t="str" cm="1">
        <f t="array" ref="X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0" s="6" t="str" cm="1">
        <f t="array" ref="Y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0" s="6" t="str" cm="1">
        <f t="array" ref="Z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1" spans="2:26" x14ac:dyDescent="0.2">
      <c r="B101" s="8" cm="1">
        <f t="array" ref="B101">ROW(impacts_svGroups[[#This Row],[Row]]) - ROW(impacts_svGroups[#Headers])</f>
        <v>17</v>
      </c>
      <c r="C101" s="7" t="str">
        <f t="shared" ref="C101:C116" si="9" xml:space="preserve"> mv_sector</f>
        <v/>
      </c>
      <c r="D101" s="9" t="s">
        <v>23</v>
      </c>
      <c r="E101" s="6" t="str">
        <f>INDEX(SV_Categories[svGroupType],MATCH(impacts_svGroups[[#This Row],[SV Category]],SV_Categories[svGroupLabel],0))</f>
        <v>sv_lowIncome</v>
      </c>
      <c r="F101" s="6" t="str" cm="1">
        <f t="array" ref="F10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1" s="9" t="s">
        <v>73</v>
      </c>
      <c r="H101" s="6" t="str">
        <f t="shared" si="8"/>
        <v>CONUS</v>
      </c>
      <c r="I101" s="6" t="str" cm="1">
        <f t="array" ref="I101" xml:space="preserve"> INDEX( list_scenarios, MOD( impacts_svGroups[[#This Row],[Row]] - 1, n_scenarios ) + 1 )</f>
        <v/>
      </c>
      <c r="J101" s="6" t="str" cm="1">
        <f t="array" ref="J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1" s="6" t="str" cm="1">
        <f t="array" ref="K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1" s="6" t="str" cm="1">
        <f t="array" ref="L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1" s="6" t="str" cm="1">
        <f t="array" ref="M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1" s="6" t="str" cm="1">
        <f t="array" ref="N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1" s="6" t="str" cm="1">
        <f t="array" ref="O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1" s="6" t="str" cm="1">
        <f t="array" ref="P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1" s="6" t="str" cm="1">
        <f t="array" ref="Q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1" s="6" t="str" cm="1">
        <f t="array" ref="R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1" s="6" t="str" cm="1">
        <f t="array" ref="S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1" s="6" t="str" cm="1">
        <f t="array" ref="T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1" s="6" t="str" cm="1">
        <f t="array" ref="U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1" s="6" t="str" cm="1">
        <f t="array" ref="V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1" s="6" t="str" cm="1">
        <f t="array" ref="W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1" s="6" t="str" cm="1">
        <f t="array" ref="X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1" s="6" t="str" cm="1">
        <f t="array" ref="Y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1" s="6" t="str" cm="1">
        <f t="array" ref="Z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2" spans="2:26" x14ac:dyDescent="0.2">
      <c r="B102" s="8" cm="1">
        <f t="array" ref="B102">ROW(impacts_svGroups[[#This Row],[Row]]) - ROW(impacts_svGroups[#Headers])</f>
        <v>18</v>
      </c>
      <c r="C102" s="7" t="str">
        <f t="shared" si="9"/>
        <v/>
      </c>
      <c r="D102" s="9" t="s">
        <v>23</v>
      </c>
      <c r="E102" s="6" t="str">
        <f>INDEX(SV_Categories[svGroupType],MATCH(impacts_svGroups[[#This Row],[SV Category]],SV_Categories[svGroupLabel],0))</f>
        <v>sv_lowIncome</v>
      </c>
      <c r="F102" s="6" t="str" cm="1">
        <f t="array" ref="F10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2" s="9" t="s">
        <v>73</v>
      </c>
      <c r="H102" s="6" t="str">
        <f t="shared" si="8"/>
        <v>CONUS</v>
      </c>
      <c r="I102" s="6" t="str" cm="1">
        <f t="array" ref="I102" xml:space="preserve"> INDEX( list_scenarios, MOD( impacts_svGroups[[#This Row],[Row]] - 1, n_scenarios ) + 1 )</f>
        <v/>
      </c>
      <c r="J102" s="6" t="str" cm="1">
        <f t="array" ref="J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2" s="6" t="str" cm="1">
        <f t="array" ref="K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2" s="6" t="str" cm="1">
        <f t="array" ref="L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2" s="6" t="str" cm="1">
        <f t="array" ref="M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2" s="6" t="str" cm="1">
        <f t="array" ref="N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2" s="6" t="str" cm="1">
        <f t="array" ref="O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2" s="6" t="str" cm="1">
        <f t="array" ref="P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2" s="6" t="str" cm="1">
        <f t="array" ref="Q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2" s="6" t="str" cm="1">
        <f t="array" ref="R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2" s="6" t="str" cm="1">
        <f t="array" ref="S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2" s="6" t="str" cm="1">
        <f t="array" ref="T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2" s="6" t="str" cm="1">
        <f t="array" ref="U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2" s="6" t="str" cm="1">
        <f t="array" ref="V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2" s="6" t="str" cm="1">
        <f t="array" ref="W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2" s="6" t="str" cm="1">
        <f t="array" ref="X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2" s="6" t="str" cm="1">
        <f t="array" ref="Y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2" s="6" t="str" cm="1">
        <f t="array" ref="Z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3" spans="2:26" x14ac:dyDescent="0.2">
      <c r="B103" s="8" cm="1">
        <f t="array" ref="B103">ROW(impacts_svGroups[[#This Row],[Row]]) - ROW(impacts_svGroups[#Headers])</f>
        <v>19</v>
      </c>
      <c r="C103" s="7" t="str">
        <f t="shared" si="9"/>
        <v/>
      </c>
      <c r="D103" s="9" t="s">
        <v>23</v>
      </c>
      <c r="E103" s="6" t="str">
        <f>INDEX(SV_Categories[svGroupType],MATCH(impacts_svGroups[[#This Row],[SV Category]],SV_Categories[svGroupLabel],0))</f>
        <v>sv_lowIncome</v>
      </c>
      <c r="F103" s="6" t="str" cm="1">
        <f t="array" ref="F10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3" s="9" t="s">
        <v>73</v>
      </c>
      <c r="H103" s="6" t="str">
        <f t="shared" si="8"/>
        <v>CONUS</v>
      </c>
      <c r="I103" s="6" t="str" cm="1">
        <f t="array" ref="I103" xml:space="preserve"> INDEX( list_scenarios, MOD( impacts_svGroups[[#This Row],[Row]] - 1, n_scenarios ) + 1 )</f>
        <v/>
      </c>
      <c r="J103" s="6" t="str" cm="1">
        <f t="array" ref="J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3" s="6" t="str" cm="1">
        <f t="array" ref="K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3" s="6" t="str" cm="1">
        <f t="array" ref="L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3" s="6" t="str" cm="1">
        <f t="array" ref="M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3" s="6" t="str" cm="1">
        <f t="array" ref="N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3" s="6" t="str" cm="1">
        <f t="array" ref="O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3" s="6" t="str" cm="1">
        <f t="array" ref="P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3" s="6" t="str" cm="1">
        <f t="array" ref="Q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3" s="6" t="str" cm="1">
        <f t="array" ref="R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3" s="6" t="str" cm="1">
        <f t="array" ref="S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3" s="6" t="str" cm="1">
        <f t="array" ref="T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3" s="6" t="str" cm="1">
        <f t="array" ref="U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3" s="6" t="str" cm="1">
        <f t="array" ref="V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3" s="6" t="str" cm="1">
        <f t="array" ref="W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3" s="6" t="str" cm="1">
        <f t="array" ref="X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3" s="6" t="str" cm="1">
        <f t="array" ref="Y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3" s="6" t="str" cm="1">
        <f t="array" ref="Z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4" spans="2:26" x14ac:dyDescent="0.2">
      <c r="B104" s="8" cm="1">
        <f t="array" ref="B104">ROW(impacts_svGroups[[#This Row],[Row]]) - ROW(impacts_svGroups[#Headers])</f>
        <v>20</v>
      </c>
      <c r="C104" s="7" t="str">
        <f t="shared" si="9"/>
        <v/>
      </c>
      <c r="D104" s="9" t="s">
        <v>23</v>
      </c>
      <c r="E104" s="6" t="str">
        <f>INDEX(SV_Categories[svGroupType],MATCH(impacts_svGroups[[#This Row],[SV Category]],SV_Categories[svGroupLabel],0))</f>
        <v>sv_lowIncome</v>
      </c>
      <c r="F104" s="6" t="str" cm="1">
        <f t="array" ref="F10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4" s="9" t="s">
        <v>73</v>
      </c>
      <c r="H104" s="6" t="str">
        <f t="shared" si="8"/>
        <v>CONUS</v>
      </c>
      <c r="I104" s="6" t="str" cm="1">
        <f t="array" ref="I104" xml:space="preserve"> INDEX( list_scenarios, MOD( impacts_svGroups[[#This Row],[Row]] - 1, n_scenarios ) + 1 )</f>
        <v/>
      </c>
      <c r="J104" s="6" t="str" cm="1">
        <f t="array" ref="J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4" s="6" t="str" cm="1">
        <f t="array" ref="K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4" s="6" t="str" cm="1">
        <f t="array" ref="L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4" s="6" t="str" cm="1">
        <f t="array" ref="M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4" s="6" t="str" cm="1">
        <f t="array" ref="N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4" s="6" t="str" cm="1">
        <f t="array" ref="O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4" s="6" t="str" cm="1">
        <f t="array" ref="P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4" s="6" t="str" cm="1">
        <f t="array" ref="Q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4" s="6" t="str" cm="1">
        <f t="array" ref="R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4" s="6" t="str" cm="1">
        <f t="array" ref="S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4" s="6" t="str" cm="1">
        <f t="array" ref="T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4" s="6" t="str" cm="1">
        <f t="array" ref="U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4" s="6" t="str" cm="1">
        <f t="array" ref="V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4" s="6" t="str" cm="1">
        <f t="array" ref="W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4" s="6" t="str" cm="1">
        <f t="array" ref="X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4" s="6" t="str" cm="1">
        <f t="array" ref="Y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4" s="6" t="str" cm="1">
        <f t="array" ref="Z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5" spans="2:26" x14ac:dyDescent="0.2">
      <c r="B105" s="8" cm="1">
        <f t="array" ref="B105">ROW(impacts_svGroups[[#This Row],[Row]]) - ROW(impacts_svGroups[#Headers])</f>
        <v>21</v>
      </c>
      <c r="C105" s="7" t="str">
        <f t="shared" si="9"/>
        <v/>
      </c>
      <c r="D105" s="9" t="s">
        <v>33</v>
      </c>
      <c r="E105" s="6" t="str">
        <f>INDEX(SV_Categories[svGroupType],MATCH(impacts_svGroups[[#This Row],[SV Category]],SV_Categories[svGroupLabel],0))</f>
        <v>sv_minority</v>
      </c>
      <c r="F105" s="6" t="str" cm="1">
        <f t="array" ref="F10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5" s="9" t="s">
        <v>73</v>
      </c>
      <c r="H105" s="6" t="str">
        <f t="shared" si="8"/>
        <v>CONUS</v>
      </c>
      <c r="I105" s="6" t="str" cm="1">
        <f t="array" ref="I105" xml:space="preserve"> INDEX( list_scenarios, MOD( impacts_svGroups[[#This Row],[Row]] - 1, n_scenarios ) + 1 )</f>
        <v/>
      </c>
      <c r="J105" s="6" t="str" cm="1">
        <f t="array" ref="J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5" s="6" t="str" cm="1">
        <f t="array" ref="K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5" s="6" t="str" cm="1">
        <f t="array" ref="L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5" s="6" t="str" cm="1">
        <f t="array" ref="M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5" s="6" t="str" cm="1">
        <f t="array" ref="N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5" s="6" t="str" cm="1">
        <f t="array" ref="O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5" s="6" t="str" cm="1">
        <f t="array" ref="P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5" s="6" t="str" cm="1">
        <f t="array" ref="Q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5" s="6" t="str" cm="1">
        <f t="array" ref="R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5" s="6" t="str" cm="1">
        <f t="array" ref="S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5" s="6" t="str" cm="1">
        <f t="array" ref="T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5" s="6" t="str" cm="1">
        <f t="array" ref="U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5" s="6" t="str" cm="1">
        <f t="array" ref="V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5" s="6" t="str" cm="1">
        <f t="array" ref="W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5" s="6" t="str" cm="1">
        <f t="array" ref="X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5" s="6" t="str" cm="1">
        <f t="array" ref="Y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5" s="6" t="str" cm="1">
        <f t="array" ref="Z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6" spans="2:26" x14ac:dyDescent="0.2">
      <c r="B106" s="8" cm="1">
        <f t="array" ref="B106">ROW(impacts_svGroups[[#This Row],[Row]]) - ROW(impacts_svGroups[#Headers])</f>
        <v>22</v>
      </c>
      <c r="C106" s="7" t="str">
        <f t="shared" si="9"/>
        <v/>
      </c>
      <c r="D106" s="9" t="s">
        <v>33</v>
      </c>
      <c r="E106" s="6" t="str">
        <f>INDEX(SV_Categories[svGroupType],MATCH(impacts_svGroups[[#This Row],[SV Category]],SV_Categories[svGroupLabel],0))</f>
        <v>sv_minority</v>
      </c>
      <c r="F106" s="6" t="str" cm="1">
        <f t="array" ref="F10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6" s="9" t="s">
        <v>73</v>
      </c>
      <c r="H106" s="6" t="str">
        <f t="shared" si="8"/>
        <v>CONUS</v>
      </c>
      <c r="I106" s="6" t="str" cm="1">
        <f t="array" ref="I106" xml:space="preserve"> INDEX( list_scenarios, MOD( impacts_svGroups[[#This Row],[Row]] - 1, n_scenarios ) + 1 )</f>
        <v/>
      </c>
      <c r="J106" s="6" t="str" cm="1">
        <f t="array" ref="J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6" s="6" t="str" cm="1">
        <f t="array" ref="K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6" s="6" t="str" cm="1">
        <f t="array" ref="L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6" s="6" t="str" cm="1">
        <f t="array" ref="M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6" s="6" t="str" cm="1">
        <f t="array" ref="N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6" s="6" t="str" cm="1">
        <f t="array" ref="O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6" s="6" t="str" cm="1">
        <f t="array" ref="P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6" s="6" t="str" cm="1">
        <f t="array" ref="Q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6" s="6" t="str" cm="1">
        <f t="array" ref="R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6" s="6" t="str" cm="1">
        <f t="array" ref="S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6" s="6" t="str" cm="1">
        <f t="array" ref="T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6" s="6" t="str" cm="1">
        <f t="array" ref="U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6" s="6" t="str" cm="1">
        <f t="array" ref="V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6" s="6" t="str" cm="1">
        <f t="array" ref="W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6" s="6" t="str" cm="1">
        <f t="array" ref="X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6" s="6" t="str" cm="1">
        <f t="array" ref="Y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6" s="6" t="str" cm="1">
        <f t="array" ref="Z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7" spans="2:26" x14ac:dyDescent="0.2">
      <c r="B107" s="8" cm="1">
        <f t="array" ref="B107">ROW(impacts_svGroups[[#This Row],[Row]]) - ROW(impacts_svGroups[#Headers])</f>
        <v>23</v>
      </c>
      <c r="C107" s="7" t="str">
        <f t="shared" si="9"/>
        <v/>
      </c>
      <c r="D107" s="9" t="s">
        <v>33</v>
      </c>
      <c r="E107" s="6" t="str">
        <f>INDEX(SV_Categories[svGroupType],MATCH(impacts_svGroups[[#This Row],[SV Category]],SV_Categories[svGroupLabel],0))</f>
        <v>sv_minority</v>
      </c>
      <c r="F107" s="6" t="str" cm="1">
        <f t="array" ref="F10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7" s="9" t="s">
        <v>73</v>
      </c>
      <c r="H107" s="6" t="str">
        <f t="shared" si="8"/>
        <v>CONUS</v>
      </c>
      <c r="I107" s="6" t="str" cm="1">
        <f t="array" ref="I107" xml:space="preserve"> INDEX( list_scenarios, MOD( impacts_svGroups[[#This Row],[Row]] - 1, n_scenarios ) + 1 )</f>
        <v/>
      </c>
      <c r="J107" s="6" t="str" cm="1">
        <f t="array" ref="J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7" s="6" t="str" cm="1">
        <f t="array" ref="K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7" s="6" t="str" cm="1">
        <f t="array" ref="L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7" s="6" t="str" cm="1">
        <f t="array" ref="M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7" s="6" t="str" cm="1">
        <f t="array" ref="N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7" s="6" t="str" cm="1">
        <f t="array" ref="O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7" s="6" t="str" cm="1">
        <f t="array" ref="P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7" s="6" t="str" cm="1">
        <f t="array" ref="Q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7" s="6" t="str" cm="1">
        <f t="array" ref="R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7" s="6" t="str" cm="1">
        <f t="array" ref="S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7" s="6" t="str" cm="1">
        <f t="array" ref="T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7" s="6" t="str" cm="1">
        <f t="array" ref="U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7" s="6" t="str" cm="1">
        <f t="array" ref="V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7" s="6" t="str" cm="1">
        <f t="array" ref="W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7" s="6" t="str" cm="1">
        <f t="array" ref="X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7" s="6" t="str" cm="1">
        <f t="array" ref="Y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7" s="6" t="str" cm="1">
        <f t="array" ref="Z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8" spans="2:26" x14ac:dyDescent="0.2">
      <c r="B108" s="8" cm="1">
        <f t="array" ref="B108">ROW(impacts_svGroups[[#This Row],[Row]]) - ROW(impacts_svGroups[#Headers])</f>
        <v>24</v>
      </c>
      <c r="C108" s="7" t="str">
        <f t="shared" si="9"/>
        <v/>
      </c>
      <c r="D108" s="9" t="s">
        <v>33</v>
      </c>
      <c r="E108" s="6" t="str">
        <f>INDEX(SV_Categories[svGroupType],MATCH(impacts_svGroups[[#This Row],[SV Category]],SV_Categories[svGroupLabel],0))</f>
        <v>sv_minority</v>
      </c>
      <c r="F108" s="6" t="str" cm="1">
        <f t="array" ref="F10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8" s="9" t="s">
        <v>73</v>
      </c>
      <c r="H108" s="6" t="str">
        <f t="shared" si="8"/>
        <v>CONUS</v>
      </c>
      <c r="I108" s="6" t="str" cm="1">
        <f t="array" ref="I108" xml:space="preserve"> INDEX( list_scenarios, MOD( impacts_svGroups[[#This Row],[Row]] - 1, n_scenarios ) + 1 )</f>
        <v/>
      </c>
      <c r="J108" s="6" t="str" cm="1">
        <f t="array" ref="J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8" s="6" t="str" cm="1">
        <f t="array" ref="K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8" s="6" t="str" cm="1">
        <f t="array" ref="L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8" s="6" t="str" cm="1">
        <f t="array" ref="M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8" s="6" t="str" cm="1">
        <f t="array" ref="N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8" s="6" t="str" cm="1">
        <f t="array" ref="O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8" s="6" t="str" cm="1">
        <f t="array" ref="P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8" s="6" t="str" cm="1">
        <f t="array" ref="Q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8" s="6" t="str" cm="1">
        <f t="array" ref="R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8" s="6" t="str" cm="1">
        <f t="array" ref="S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8" s="6" t="str" cm="1">
        <f t="array" ref="T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8" s="6" t="str" cm="1">
        <f t="array" ref="U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8" s="6" t="str" cm="1">
        <f t="array" ref="V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8" s="6" t="str" cm="1">
        <f t="array" ref="W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8" s="6" t="str" cm="1">
        <f t="array" ref="X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8" s="6" t="str" cm="1">
        <f t="array" ref="Y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8" s="6" t="str" cm="1">
        <f t="array" ref="Z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9" spans="2:26" x14ac:dyDescent="0.2">
      <c r="B109" s="8" cm="1">
        <f t="array" ref="B109">ROW(impacts_svGroups[[#This Row],[Row]]) - ROW(impacts_svGroups[#Headers])</f>
        <v>25</v>
      </c>
      <c r="C109" s="7" t="str">
        <f t="shared" si="9"/>
        <v/>
      </c>
      <c r="D109" s="9" t="s">
        <v>27</v>
      </c>
      <c r="E109" s="6" t="str">
        <f>INDEX(SV_Categories[svGroupType],MATCH(impacts_svGroups[[#This Row],[SV Category]],SV_Categories[svGroupLabel],0))</f>
        <v>sv_noHS</v>
      </c>
      <c r="F109" s="6" t="str" cm="1">
        <f t="array" ref="F10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9" s="9" t="s">
        <v>73</v>
      </c>
      <c r="H109" s="6" t="str">
        <f t="shared" si="8"/>
        <v>CONUS</v>
      </c>
      <c r="I109" s="6" t="str" cm="1">
        <f t="array" ref="I109" xml:space="preserve"> INDEX( list_scenarios, MOD( impacts_svGroups[[#This Row],[Row]] - 1, n_scenarios ) + 1 )</f>
        <v/>
      </c>
      <c r="J109" s="6" t="str" cm="1">
        <f t="array" ref="J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9" s="6" t="str" cm="1">
        <f t="array" ref="K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9" s="6" t="str" cm="1">
        <f t="array" ref="L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9" s="6" t="str" cm="1">
        <f t="array" ref="M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9" s="6" t="str" cm="1">
        <f t="array" ref="N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9" s="6" t="str" cm="1">
        <f t="array" ref="O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9" s="6" t="str" cm="1">
        <f t="array" ref="P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9" s="6" t="str" cm="1">
        <f t="array" ref="Q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9" s="6" t="str" cm="1">
        <f t="array" ref="R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9" s="6" t="str" cm="1">
        <f t="array" ref="S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9" s="6" t="str" cm="1">
        <f t="array" ref="T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9" s="6" t="str" cm="1">
        <f t="array" ref="U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9" s="6" t="str" cm="1">
        <f t="array" ref="V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9" s="6" t="str" cm="1">
        <f t="array" ref="W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9" s="6" t="str" cm="1">
        <f t="array" ref="X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9" s="6" t="str" cm="1">
        <f t="array" ref="Y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9" s="6" t="str" cm="1">
        <f t="array" ref="Z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0" spans="2:26" x14ac:dyDescent="0.2">
      <c r="B110" s="8" cm="1">
        <f t="array" ref="B110">ROW(impacts_svGroups[[#This Row],[Row]]) - ROW(impacts_svGroups[#Headers])</f>
        <v>26</v>
      </c>
      <c r="C110" s="7" t="str">
        <f t="shared" si="9"/>
        <v/>
      </c>
      <c r="D110" s="9" t="s">
        <v>27</v>
      </c>
      <c r="E110" s="6" t="str">
        <f>INDEX(SV_Categories[svGroupType],MATCH(impacts_svGroups[[#This Row],[SV Category]],SV_Categories[svGroupLabel],0))</f>
        <v>sv_noHS</v>
      </c>
      <c r="F110" s="6" t="str" cm="1">
        <f t="array" ref="F11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0" s="9" t="s">
        <v>73</v>
      </c>
      <c r="H110" s="6" t="str">
        <f t="shared" si="8"/>
        <v>CONUS</v>
      </c>
      <c r="I110" s="6" t="str" cm="1">
        <f t="array" ref="I110" xml:space="preserve"> INDEX( list_scenarios, MOD( impacts_svGroups[[#This Row],[Row]] - 1, n_scenarios ) + 1 )</f>
        <v/>
      </c>
      <c r="J110" s="6" t="str" cm="1">
        <f t="array" ref="J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0" s="6" t="str" cm="1">
        <f t="array" ref="K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0" s="6" t="str" cm="1">
        <f t="array" ref="L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0" s="6" t="str" cm="1">
        <f t="array" ref="M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0" s="6" t="str" cm="1">
        <f t="array" ref="N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0" s="6" t="str" cm="1">
        <f t="array" ref="O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0" s="6" t="str" cm="1">
        <f t="array" ref="P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0" s="6" t="str" cm="1">
        <f t="array" ref="Q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0" s="6" t="str" cm="1">
        <f t="array" ref="R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0" s="6" t="str" cm="1">
        <f t="array" ref="S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0" s="6" t="str" cm="1">
        <f t="array" ref="T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0" s="6" t="str" cm="1">
        <f t="array" ref="U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0" s="6" t="str" cm="1">
        <f t="array" ref="V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0" s="6" t="str" cm="1">
        <f t="array" ref="W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0" s="6" t="str" cm="1">
        <f t="array" ref="X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0" s="6" t="str" cm="1">
        <f t="array" ref="Y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0" s="6" t="str" cm="1">
        <f t="array" ref="Z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1" spans="2:26" x14ac:dyDescent="0.2">
      <c r="B111" s="8" cm="1">
        <f t="array" ref="B111">ROW(impacts_svGroups[[#This Row],[Row]]) - ROW(impacts_svGroups[#Headers])</f>
        <v>27</v>
      </c>
      <c r="C111" s="7" t="str">
        <f t="shared" si="9"/>
        <v/>
      </c>
      <c r="D111" s="9" t="s">
        <v>27</v>
      </c>
      <c r="E111" s="6" t="str">
        <f>INDEX(SV_Categories[svGroupType],MATCH(impacts_svGroups[[#This Row],[SV Category]],SV_Categories[svGroupLabel],0))</f>
        <v>sv_noHS</v>
      </c>
      <c r="F111" s="6" t="str" cm="1">
        <f t="array" ref="F11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1" s="9" t="s">
        <v>73</v>
      </c>
      <c r="H111" s="6" t="str">
        <f t="shared" si="8"/>
        <v>CONUS</v>
      </c>
      <c r="I111" s="6" t="str" cm="1">
        <f t="array" ref="I111" xml:space="preserve"> INDEX( list_scenarios, MOD( impacts_svGroups[[#This Row],[Row]] - 1, n_scenarios ) + 1 )</f>
        <v/>
      </c>
      <c r="J111" s="6" t="str" cm="1">
        <f t="array" ref="J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1" s="6" t="str" cm="1">
        <f t="array" ref="K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1" s="6" t="str" cm="1">
        <f t="array" ref="L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1" s="6" t="str" cm="1">
        <f t="array" ref="M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1" s="6" t="str" cm="1">
        <f t="array" ref="N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1" s="6" t="str" cm="1">
        <f t="array" ref="O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1" s="6" t="str" cm="1">
        <f t="array" ref="P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1" s="6" t="str" cm="1">
        <f t="array" ref="Q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1" s="6" t="str" cm="1">
        <f t="array" ref="R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1" s="6" t="str" cm="1">
        <f t="array" ref="S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1" s="6" t="str" cm="1">
        <f t="array" ref="T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1" s="6" t="str" cm="1">
        <f t="array" ref="U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1" s="6" t="str" cm="1">
        <f t="array" ref="V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1" s="6" t="str" cm="1">
        <f t="array" ref="W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1" s="6" t="str" cm="1">
        <f t="array" ref="X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1" s="6" t="str" cm="1">
        <f t="array" ref="Y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1" s="6" t="str" cm="1">
        <f t="array" ref="Z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2" spans="2:26" x14ac:dyDescent="0.2">
      <c r="B112" s="8" cm="1">
        <f t="array" ref="B112">ROW(impacts_svGroups[[#This Row],[Row]]) - ROW(impacts_svGroups[#Headers])</f>
        <v>28</v>
      </c>
      <c r="C112" s="7" t="str">
        <f t="shared" si="9"/>
        <v/>
      </c>
      <c r="D112" s="9" t="s">
        <v>27</v>
      </c>
      <c r="E112" s="6" t="str">
        <f>INDEX(SV_Categories[svGroupType],MATCH(impacts_svGroups[[#This Row],[SV Category]],SV_Categories[svGroupLabel],0))</f>
        <v>sv_noHS</v>
      </c>
      <c r="F112" s="6" t="str" cm="1">
        <f t="array" ref="F11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2" s="9" t="s">
        <v>73</v>
      </c>
      <c r="H112" s="6" t="str">
        <f t="shared" si="8"/>
        <v>CONUS</v>
      </c>
      <c r="I112" s="6" t="str" cm="1">
        <f t="array" ref="I112" xml:space="preserve"> INDEX( list_scenarios, MOD( impacts_svGroups[[#This Row],[Row]] - 1, n_scenarios ) + 1 )</f>
        <v/>
      </c>
      <c r="J112" s="6" t="str" cm="1">
        <f t="array" ref="J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2" s="6" t="str" cm="1">
        <f t="array" ref="K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2" s="6" t="str" cm="1">
        <f t="array" ref="L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2" s="6" t="str" cm="1">
        <f t="array" ref="M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2" s="6" t="str" cm="1">
        <f t="array" ref="N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2" s="6" t="str" cm="1">
        <f t="array" ref="O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2" s="6" t="str" cm="1">
        <f t="array" ref="P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2" s="6" t="str" cm="1">
        <f t="array" ref="Q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2" s="6" t="str" cm="1">
        <f t="array" ref="R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2" s="6" t="str" cm="1">
        <f t="array" ref="S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2" s="6" t="str" cm="1">
        <f t="array" ref="T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2" s="6" t="str" cm="1">
        <f t="array" ref="U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2" s="6" t="str" cm="1">
        <f t="array" ref="V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2" s="6" t="str" cm="1">
        <f t="array" ref="W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2" s="6" t="str" cm="1">
        <f t="array" ref="X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2" s="6" t="str" cm="1">
        <f t="array" ref="Y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2" s="6" t="str" cm="1">
        <f t="array" ref="Z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3" spans="2:26" x14ac:dyDescent="0.2">
      <c r="B113" s="8" cm="1">
        <f t="array" ref="B113">ROW(impacts_svGroups[[#This Row],[Row]]) - ROW(impacts_svGroups[#Headers])</f>
        <v>29</v>
      </c>
      <c r="C113" s="7" t="str">
        <f t="shared" si="9"/>
        <v/>
      </c>
      <c r="D113" s="9" t="s">
        <v>29</v>
      </c>
      <c r="E113" s="6" t="str">
        <f>INDEX(SV_Categories[svGroupType],MATCH(impacts_svGroups[[#This Row],[SV Category]],SV_Categories[svGroupLabel],0))</f>
        <v>sv_plus65</v>
      </c>
      <c r="F113" s="6" t="str" cm="1">
        <f t="array" ref="F11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3" s="9" t="s">
        <v>73</v>
      </c>
      <c r="H113" s="6" t="str">
        <f t="shared" si="8"/>
        <v>CONUS</v>
      </c>
      <c r="I113" s="6" t="str" cm="1">
        <f t="array" ref="I113" xml:space="preserve"> INDEX( list_scenarios, MOD( impacts_svGroups[[#This Row],[Row]] - 1, n_scenarios ) + 1 )</f>
        <v/>
      </c>
      <c r="J113" s="6" t="str" cm="1">
        <f t="array" ref="J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3" s="6" t="str" cm="1">
        <f t="array" ref="K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3" s="6" t="str" cm="1">
        <f t="array" ref="L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3" s="6" t="str" cm="1">
        <f t="array" ref="M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3" s="6" t="str" cm="1">
        <f t="array" ref="N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3" s="6" t="str" cm="1">
        <f t="array" ref="O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3" s="6" t="str" cm="1">
        <f t="array" ref="P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3" s="6" t="str" cm="1">
        <f t="array" ref="Q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3" s="6" t="str" cm="1">
        <f t="array" ref="R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3" s="6" t="str" cm="1">
        <f t="array" ref="S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3" s="6" t="str" cm="1">
        <f t="array" ref="T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3" s="6" t="str" cm="1">
        <f t="array" ref="U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3" s="6" t="str" cm="1">
        <f t="array" ref="V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3" s="6" t="str" cm="1">
        <f t="array" ref="W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3" s="6" t="str" cm="1">
        <f t="array" ref="X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3" s="6" t="str" cm="1">
        <f t="array" ref="Y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3" s="6" t="str" cm="1">
        <f t="array" ref="Z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4" spans="2:26" x14ac:dyDescent="0.2">
      <c r="B114" s="8" cm="1">
        <f t="array" ref="B114">ROW(impacts_svGroups[[#This Row],[Row]]) - ROW(impacts_svGroups[#Headers])</f>
        <v>30</v>
      </c>
      <c r="C114" s="7" t="str">
        <f t="shared" si="9"/>
        <v/>
      </c>
      <c r="D114" s="9" t="s">
        <v>29</v>
      </c>
      <c r="E114" s="6" t="str">
        <f>INDEX(SV_Categories[svGroupType],MATCH(impacts_svGroups[[#This Row],[SV Category]],SV_Categories[svGroupLabel],0))</f>
        <v>sv_plus65</v>
      </c>
      <c r="F114" s="6" t="str" cm="1">
        <f t="array" ref="F11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4" s="9" t="s">
        <v>73</v>
      </c>
      <c r="H114" s="6" t="str">
        <f t="shared" si="8"/>
        <v>CONUS</v>
      </c>
      <c r="I114" s="6" t="str" cm="1">
        <f t="array" ref="I114" xml:space="preserve"> INDEX( list_scenarios, MOD( impacts_svGroups[[#This Row],[Row]] - 1, n_scenarios ) + 1 )</f>
        <v/>
      </c>
      <c r="J114" s="6" t="str" cm="1">
        <f t="array" ref="J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4" s="6" t="str" cm="1">
        <f t="array" ref="K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4" s="6" t="str" cm="1">
        <f t="array" ref="L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4" s="6" t="str" cm="1">
        <f t="array" ref="M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4" s="6" t="str" cm="1">
        <f t="array" ref="N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4" s="6" t="str" cm="1">
        <f t="array" ref="O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4" s="6" t="str" cm="1">
        <f t="array" ref="P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4" s="6" t="str" cm="1">
        <f t="array" ref="Q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4" s="6" t="str" cm="1">
        <f t="array" ref="R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4" s="6" t="str" cm="1">
        <f t="array" ref="S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4" s="6" t="str" cm="1">
        <f t="array" ref="T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4" s="6" t="str" cm="1">
        <f t="array" ref="U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4" s="6" t="str" cm="1">
        <f t="array" ref="V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4" s="6" t="str" cm="1">
        <f t="array" ref="W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4" s="6" t="str" cm="1">
        <f t="array" ref="X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4" s="6" t="str" cm="1">
        <f t="array" ref="Y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4" s="6" t="str" cm="1">
        <f t="array" ref="Z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5" spans="2:26" x14ac:dyDescent="0.2">
      <c r="B115" s="8" cm="1">
        <f t="array" ref="B115">ROW(impacts_svGroups[[#This Row],[Row]]) - ROW(impacts_svGroups[#Headers])</f>
        <v>31</v>
      </c>
      <c r="C115" s="7" t="str">
        <f t="shared" si="9"/>
        <v/>
      </c>
      <c r="D115" s="9" t="s">
        <v>29</v>
      </c>
      <c r="E115" s="6" t="str">
        <f>INDEX(SV_Categories[svGroupType],MATCH(impacts_svGroups[[#This Row],[SV Category]],SV_Categories[svGroupLabel],0))</f>
        <v>sv_plus65</v>
      </c>
      <c r="F115" s="6" t="str" cm="1">
        <f t="array" ref="F11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5" s="9" t="s">
        <v>73</v>
      </c>
      <c r="H115" s="6" t="str">
        <f t="shared" si="8"/>
        <v>CONUS</v>
      </c>
      <c r="I115" s="6" t="str" cm="1">
        <f t="array" ref="I115" xml:space="preserve"> INDEX( list_scenarios, MOD( impacts_svGroups[[#This Row],[Row]] - 1, n_scenarios ) + 1 )</f>
        <v/>
      </c>
      <c r="J115" s="6" t="str" cm="1">
        <f t="array" ref="J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5" s="6" t="str" cm="1">
        <f t="array" ref="K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5" s="6" t="str" cm="1">
        <f t="array" ref="L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5" s="6" t="str" cm="1">
        <f t="array" ref="M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5" s="6" t="str" cm="1">
        <f t="array" ref="N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5" s="6" t="str" cm="1">
        <f t="array" ref="O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5" s="6" t="str" cm="1">
        <f t="array" ref="P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5" s="6" t="str" cm="1">
        <f t="array" ref="Q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5" s="6" t="str" cm="1">
        <f t="array" ref="R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5" s="6" t="str" cm="1">
        <f t="array" ref="S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5" s="6" t="str" cm="1">
        <f t="array" ref="T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5" s="6" t="str" cm="1">
        <f t="array" ref="U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5" s="6" t="str" cm="1">
        <f t="array" ref="V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5" s="6" t="str" cm="1">
        <f t="array" ref="W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5" s="6" t="str" cm="1">
        <f t="array" ref="X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5" s="6" t="str" cm="1">
        <f t="array" ref="Y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5" s="6" t="str" cm="1">
        <f t="array" ref="Z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6" spans="2:26" x14ac:dyDescent="0.2">
      <c r="B116" s="8" cm="1">
        <f t="array" ref="B116">ROW(impacts_svGroups[[#This Row],[Row]]) - ROW(impacts_svGroups[#Headers])</f>
        <v>32</v>
      </c>
      <c r="C116" s="7" t="str">
        <f t="shared" si="9"/>
        <v/>
      </c>
      <c r="D116" s="9" t="s">
        <v>29</v>
      </c>
      <c r="E116" s="6" t="str">
        <f>INDEX(SV_Categories[svGroupType],MATCH(impacts_svGroups[[#This Row],[SV Category]],SV_Categories[svGroupLabel],0))</f>
        <v>sv_plus65</v>
      </c>
      <c r="F116" s="6" t="str" cm="1">
        <f t="array" ref="F11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6" s="9" t="s">
        <v>73</v>
      </c>
      <c r="H116" s="6" t="str">
        <f t="shared" si="8"/>
        <v>CONUS</v>
      </c>
      <c r="I116" s="6" t="str" cm="1">
        <f t="array" ref="I116" xml:space="preserve"> INDEX( list_scenarios, MOD( impacts_svGroups[[#This Row],[Row]] - 1, n_scenarios ) + 1 )</f>
        <v/>
      </c>
      <c r="J116" s="6" t="str" cm="1">
        <f t="array" ref="J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6" s="6" t="str" cm="1">
        <f t="array" ref="K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6" s="6" t="str" cm="1">
        <f t="array" ref="L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6" s="6" t="str" cm="1">
        <f t="array" ref="M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6" s="6" t="str" cm="1">
        <f t="array" ref="N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6" s="6" t="str" cm="1">
        <f t="array" ref="O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6" s="6" t="str" cm="1">
        <f t="array" ref="P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6" s="6" t="str" cm="1">
        <f t="array" ref="Q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6" s="6" t="str" cm="1">
        <f t="array" ref="R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6" s="6" t="str" cm="1">
        <f t="array" ref="S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6" s="6" t="str" cm="1">
        <f t="array" ref="T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6" s="6" t="str" cm="1">
        <f t="array" ref="U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6" s="6" t="str" cm="1">
        <f t="array" ref="V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6" s="6" t="str" cm="1">
        <f t="array" ref="W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6" s="6" t="str" cm="1">
        <f t="array" ref="X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6" s="6" t="str" cm="1">
        <f t="array" ref="Y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6" s="6" t="str" cm="1">
        <f t="array" ref="Z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9" spans="2:26" x14ac:dyDescent="0.2">
      <c r="B119" s="19" t="s">
        <v>41</v>
      </c>
      <c r="C119" s="19" t="s">
        <v>0</v>
      </c>
      <c r="D119" s="19" t="s">
        <v>67</v>
      </c>
      <c r="E119" s="19" t="s">
        <v>68</v>
      </c>
      <c r="F119" s="19" t="s">
        <v>69</v>
      </c>
      <c r="G119" s="19" t="s">
        <v>70</v>
      </c>
      <c r="H119" s="19" t="s">
        <v>35</v>
      </c>
      <c r="I119" s="19" t="s">
        <v>71</v>
      </c>
      <c r="J119" s="28" t="s">
        <v>42</v>
      </c>
      <c r="K119" s="28" t="s">
        <v>43</v>
      </c>
      <c r="L119" s="28" t="s">
        <v>44</v>
      </c>
      <c r="M119" s="28" t="s">
        <v>45</v>
      </c>
      <c r="N119" s="28" t="s">
        <v>46</v>
      </c>
      <c r="O119" s="28" t="s">
        <v>47</v>
      </c>
      <c r="P119" s="28" t="s">
        <v>48</v>
      </c>
      <c r="Q119" s="28" t="s">
        <v>49</v>
      </c>
      <c r="R119" s="28" t="s">
        <v>39</v>
      </c>
      <c r="S119" s="28" t="s">
        <v>50</v>
      </c>
      <c r="T119" s="28" t="s">
        <v>51</v>
      </c>
      <c r="U119" s="28" t="s">
        <v>52</v>
      </c>
      <c r="V119" s="28" t="s">
        <v>53</v>
      </c>
      <c r="W119" s="28" t="s">
        <v>54</v>
      </c>
      <c r="X119" s="28" t="s">
        <v>55</v>
      </c>
      <c r="Y119" s="28" t="s">
        <v>56</v>
      </c>
      <c r="Z119" s="28" t="s">
        <v>57</v>
      </c>
    </row>
    <row r="120" spans="2:26" x14ac:dyDescent="0.2">
      <c r="B120" s="8" cm="1">
        <f t="array" ref="B120">ROW(impacts_minorities[[#This Row],[Row]]) - ROW(impacts_minorities[#Headers])</f>
        <v>1</v>
      </c>
      <c r="C120" s="6" t="str">
        <f t="shared" ref="C120:C135" si="10" xml:space="preserve"> mv_sector</f>
        <v/>
      </c>
      <c r="D120" s="9" t="s">
        <v>59</v>
      </c>
      <c r="E120" s="9" t="str">
        <f xml:space="preserve"> INDEX( SV_Categories[svGroupType], MATCH( impacts_minorities[[#This Row],[SV Category]], SV_Categories[svGroupLabel], 0 ) )</f>
        <v>race_white</v>
      </c>
      <c r="F120" s="6" t="str">
        <f xml:space="preserve"> IF( impacts_minorities[[#This Row],[Sector]] = "", "", INDEX(co_sectorInfo[popWeightColumn],MATCH(impacts_minorities[[#This Row],[Sector]],co_sectorInfo[sector],0)))</f>
        <v/>
      </c>
      <c r="G120" s="9" t="s">
        <v>72</v>
      </c>
      <c r="H120" s="6" t="str">
        <f t="shared" ref="H120:H135" si="11" xml:space="preserve"> IF( ISBLANK( $D$31 ), "", $D$31 )</f>
        <v>CONUS</v>
      </c>
      <c r="I120" s="6" t="str">
        <f xml:space="preserve"> IF( ISBLANK( IF( INT( ( impacts_minorities[[#This Row],[Row]] - 1 ) / n_ethnicities ) + 1 = 1, $D$29, $D$30 ) ), "",
         IF( INT( ( impacts_minorities[[#This Row],[Row]] - 1 ) / n_ethnicities ) + 1 = 1, $D$29, $D$30 ) )</f>
        <v/>
      </c>
      <c r="J120" s="6" t="str" cm="1">
        <f t="array" ref="J12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0" s="6" t="str" cm="1">
        <f t="array" ref="K12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0" s="6" t="str" cm="1">
        <f t="array" ref="L12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0" s="6" t="str" cm="1">
        <f t="array" ref="M12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0" s="6" t="str" cm="1">
        <f t="array" ref="N12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0" s="6" t="str" cm="1">
        <f t="array" ref="O12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0" s="6" t="str" cm="1">
        <f t="array" ref="P12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0" s="6" t="str" cm="1">
        <f t="array" ref="Q12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0" s="6" t="str" cm="1">
        <f t="array" ref="R12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0" s="6" t="str" cm="1">
        <f t="array" ref="S12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0" s="6" t="str" cm="1">
        <f t="array" ref="T12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0" s="6" t="str" cm="1">
        <f t="array" ref="U12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0" s="6" t="str" cm="1">
        <f t="array" ref="V12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0" s="6" t="str" cm="1">
        <f t="array" ref="W12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0" s="6" t="str" cm="1">
        <f t="array" ref="X12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0" s="6" t="str" cm="1">
        <f t="array" ref="Y12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0" s="6" t="str" cm="1">
        <f t="array" ref="Z12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1" spans="2:26" x14ac:dyDescent="0.2">
      <c r="B121" s="8" cm="1">
        <f t="array" ref="B121">ROW(impacts_minorities[[#This Row],[Row]]) - ROW(impacts_minorities[#Headers])</f>
        <v>2</v>
      </c>
      <c r="C121" s="6" t="str">
        <f t="shared" si="10"/>
        <v/>
      </c>
      <c r="D121" s="9" t="s">
        <v>60</v>
      </c>
      <c r="E121" s="9" t="str">
        <f xml:space="preserve"> INDEX( SV_Categories[svGroupType], MATCH( impacts_minorities[[#This Row],[SV Category]], SV_Categories[svGroupLabel], 0 ) )</f>
        <v>race_multiRacial</v>
      </c>
      <c r="F121" s="6" t="str">
        <f xml:space="preserve"> IF( impacts_minorities[[#This Row],[Sector]] = "", "", INDEX(co_sectorInfo[popWeightColumn],MATCH(impacts_minorities[[#This Row],[Sector]],co_sectorInfo[sector],0)))</f>
        <v/>
      </c>
      <c r="G121" s="9" t="s">
        <v>72</v>
      </c>
      <c r="H121" s="6" t="str">
        <f t="shared" si="11"/>
        <v>CONUS</v>
      </c>
      <c r="I121" s="6" t="str">
        <f xml:space="preserve"> IF( ISBLANK( IF( INT( ( impacts_minorities[[#This Row],[Row]] - 1 ) / n_ethnicities ) + 1 = 1, $D$29, $D$30 ) ), "",
         IF( INT( ( impacts_minorities[[#This Row],[Row]] - 1 ) / n_ethnicities ) + 1 = 1, $D$29, $D$30 ) )</f>
        <v/>
      </c>
      <c r="J121" s="6" t="str" cm="1">
        <f t="array" ref="J12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1" s="6" t="str" cm="1">
        <f t="array" ref="K12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1" s="6" t="str" cm="1">
        <f t="array" ref="L12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1" s="6" t="str" cm="1">
        <f t="array" ref="M12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1" s="6" t="str" cm="1">
        <f t="array" ref="N12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1" s="6" t="str" cm="1">
        <f t="array" ref="O12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1" s="6" t="str" cm="1">
        <f t="array" ref="P12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1" s="6" t="str" cm="1">
        <f t="array" ref="Q12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1" s="6" t="str" cm="1">
        <f t="array" ref="R12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1" s="6" t="str" cm="1">
        <f t="array" ref="S12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1" s="6" t="str" cm="1">
        <f t="array" ref="T12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1" s="6" t="str" cm="1">
        <f t="array" ref="U12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1" s="6" t="str" cm="1">
        <f t="array" ref="V12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1" s="6" t="str" cm="1">
        <f t="array" ref="W12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1" s="6" t="str" cm="1">
        <f t="array" ref="X12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1" s="6" t="str" cm="1">
        <f t="array" ref="Y12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1" s="6" t="str" cm="1">
        <f t="array" ref="Z12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2" spans="2:26" x14ac:dyDescent="0.2">
      <c r="B122" s="8" cm="1">
        <f t="array" ref="B122">ROW(impacts_minorities[[#This Row],[Row]]) - ROW(impacts_minorities[#Headers])</f>
        <v>3</v>
      </c>
      <c r="C122" s="6" t="str">
        <f t="shared" si="10"/>
        <v/>
      </c>
      <c r="D122" s="9" t="s">
        <v>61</v>
      </c>
      <c r="E122" s="9" t="str">
        <f xml:space="preserve"> INDEX( SV_Categories[svGroupType], MATCH( impacts_minorities[[#This Row],[SV Category]], SV_Categories[svGroupLabel], 0 ) )</f>
        <v>race_pacIsl</v>
      </c>
      <c r="F122" s="6" t="str">
        <f xml:space="preserve"> IF( impacts_minorities[[#This Row],[Sector]] = "", "", INDEX(co_sectorInfo[popWeightColumn],MATCH(impacts_minorities[[#This Row],[Sector]],co_sectorInfo[sector],0)))</f>
        <v/>
      </c>
      <c r="G122" s="9" t="s">
        <v>72</v>
      </c>
      <c r="H122" s="6" t="str">
        <f t="shared" si="11"/>
        <v>CONUS</v>
      </c>
      <c r="I122" s="6" t="str">
        <f xml:space="preserve"> IF( ISBLANK( IF( INT( ( impacts_minorities[[#This Row],[Row]] - 1 ) / n_ethnicities ) + 1 = 1, $D$29, $D$30 ) ), "",
         IF( INT( ( impacts_minorities[[#This Row],[Row]] - 1 ) / n_ethnicities ) + 1 = 1, $D$29, $D$30 ) )</f>
        <v/>
      </c>
      <c r="J122" s="6" t="str" cm="1">
        <f t="array" ref="J12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2" s="6" t="str" cm="1">
        <f t="array" ref="K12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2" s="6" t="str" cm="1">
        <f t="array" ref="L12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2" s="6" t="str" cm="1">
        <f t="array" ref="M12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2" s="6" t="str" cm="1">
        <f t="array" ref="N12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2" s="6" t="str" cm="1">
        <f t="array" ref="O12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2" s="6" t="str" cm="1">
        <f t="array" ref="P12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2" s="6" t="str" cm="1">
        <f t="array" ref="Q12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2" s="6" t="str" cm="1">
        <f t="array" ref="R12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2" s="6" t="str" cm="1">
        <f t="array" ref="S12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2" s="6" t="str" cm="1">
        <f t="array" ref="T12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2" s="6" t="str" cm="1">
        <f t="array" ref="U12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2" s="6" t="str" cm="1">
        <f t="array" ref="V12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2" s="6" t="str" cm="1">
        <f t="array" ref="W12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2" s="6" t="str" cm="1">
        <f t="array" ref="X12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2" s="6" t="str" cm="1">
        <f t="array" ref="Y12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2" s="6" t="str" cm="1">
        <f t="array" ref="Z12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3" spans="2:26" x14ac:dyDescent="0.2">
      <c r="B123" s="8" cm="1">
        <f t="array" ref="B123">ROW(impacts_minorities[[#This Row],[Row]]) - ROW(impacts_minorities[#Headers])</f>
        <v>4</v>
      </c>
      <c r="C123" s="6" t="str">
        <f t="shared" si="10"/>
        <v/>
      </c>
      <c r="D123" s="9" t="s">
        <v>62</v>
      </c>
      <c r="E123" s="9" t="str">
        <f xml:space="preserve"> INDEX( SV_Categories[svGroupType], MATCH( impacts_minorities[[#This Row],[SV Category]], SV_Categories[svGroupLabel], 0 ) )</f>
        <v>race_otherRace</v>
      </c>
      <c r="F123" s="6" t="str">
        <f xml:space="preserve"> IF( impacts_minorities[[#This Row],[Sector]] = "", "", INDEX(co_sectorInfo[popWeightColumn],MATCH(impacts_minorities[[#This Row],[Sector]],co_sectorInfo[sector],0)))</f>
        <v/>
      </c>
      <c r="G123" s="9" t="s">
        <v>72</v>
      </c>
      <c r="H123" s="6" t="str">
        <f t="shared" si="11"/>
        <v>CONUS</v>
      </c>
      <c r="I123" s="6" t="str">
        <f xml:space="preserve"> IF( ISBLANK( IF( INT( ( impacts_minorities[[#This Row],[Row]] - 1 ) / n_ethnicities ) + 1 = 1, $D$29, $D$30 ) ), "",
         IF( INT( ( impacts_minorities[[#This Row],[Row]] - 1 ) / n_ethnicities ) + 1 = 1, $D$29, $D$30 ) )</f>
        <v/>
      </c>
      <c r="J123" s="6" t="str" cm="1">
        <f t="array" ref="J12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3" s="6" t="str" cm="1">
        <f t="array" ref="K12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3" s="6" t="str" cm="1">
        <f t="array" ref="L12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3" s="6" t="str" cm="1">
        <f t="array" ref="M12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3" s="6" t="str" cm="1">
        <f t="array" ref="N12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3" s="6" t="str" cm="1">
        <f t="array" ref="O12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3" s="6" t="str" cm="1">
        <f t="array" ref="P12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3" s="6" t="str" cm="1">
        <f t="array" ref="Q12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3" s="6" t="str" cm="1">
        <f t="array" ref="R12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3" s="6" t="str" cm="1">
        <f t="array" ref="S12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3" s="6" t="str" cm="1">
        <f t="array" ref="T12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3" s="6" t="str" cm="1">
        <f t="array" ref="U12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3" s="6" t="str" cm="1">
        <f t="array" ref="V12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3" s="6" t="str" cm="1">
        <f t="array" ref="W12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3" s="6" t="str" cm="1">
        <f t="array" ref="X12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3" s="6" t="str" cm="1">
        <f t="array" ref="Y12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3" s="6" t="str" cm="1">
        <f t="array" ref="Z12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4" spans="2:26" x14ac:dyDescent="0.2">
      <c r="B124" s="8" cm="1">
        <f t="array" ref="B124">ROW(impacts_minorities[[#This Row],[Row]]) - ROW(impacts_minorities[#Headers])</f>
        <v>5</v>
      </c>
      <c r="C124" s="6" t="str">
        <f t="shared" si="10"/>
        <v/>
      </c>
      <c r="D124" s="9" t="s">
        <v>63</v>
      </c>
      <c r="E124" s="9" t="str">
        <f xml:space="preserve"> INDEX( SV_Categories[svGroupType], MATCH( impacts_minorities[[#This Row],[SV Category]], SV_Categories[svGroupLabel], 0 ) )</f>
        <v>race_hispanic</v>
      </c>
      <c r="F124" s="6" t="str">
        <f xml:space="preserve"> IF( impacts_minorities[[#This Row],[Sector]] = "", "", INDEX(co_sectorInfo[popWeightColumn],MATCH(impacts_minorities[[#This Row],[Sector]],co_sectorInfo[sector],0)))</f>
        <v/>
      </c>
      <c r="G124" s="9" t="s">
        <v>72</v>
      </c>
      <c r="H124" s="6" t="str">
        <f t="shared" si="11"/>
        <v>CONUS</v>
      </c>
      <c r="I124" s="6" t="str">
        <f xml:space="preserve"> IF( ISBLANK( IF( INT( ( impacts_minorities[[#This Row],[Row]] - 1 ) / n_ethnicities ) + 1 = 1, $D$29, $D$30 ) ), "",
         IF( INT( ( impacts_minorities[[#This Row],[Row]] - 1 ) / n_ethnicities ) + 1 = 1, $D$29, $D$30 ) )</f>
        <v/>
      </c>
      <c r="J124" s="6" t="str" cm="1">
        <f t="array" ref="J12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4" s="6" t="str" cm="1">
        <f t="array" ref="K12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4" s="6" t="str" cm="1">
        <f t="array" ref="L12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4" s="6" t="str" cm="1">
        <f t="array" ref="M12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4" s="6" t="str" cm="1">
        <f t="array" ref="N12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4" s="6" t="str" cm="1">
        <f t="array" ref="O12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4" s="6" t="str" cm="1">
        <f t="array" ref="P12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4" s="6" t="str" cm="1">
        <f t="array" ref="Q12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4" s="6" t="str" cm="1">
        <f t="array" ref="R12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4" s="6" t="str" cm="1">
        <f t="array" ref="S12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4" s="6" t="str" cm="1">
        <f t="array" ref="T12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4" s="6" t="str" cm="1">
        <f t="array" ref="U12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4" s="6" t="str" cm="1">
        <f t="array" ref="V12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4" s="6" t="str" cm="1">
        <f t="array" ref="W12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4" s="6" t="str" cm="1">
        <f t="array" ref="X12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4" s="6" t="str" cm="1">
        <f t="array" ref="Y12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4" s="6" t="str" cm="1">
        <f t="array" ref="Z12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5" spans="2:26" x14ac:dyDescent="0.2">
      <c r="B125" s="8" cm="1">
        <f t="array" ref="B125">ROW(impacts_minorities[[#This Row],[Row]]) - ROW(impacts_minorities[#Headers])</f>
        <v>6</v>
      </c>
      <c r="C125" s="6" t="str">
        <f t="shared" si="10"/>
        <v/>
      </c>
      <c r="D125" s="9" t="s">
        <v>64</v>
      </c>
      <c r="E125" s="9" t="str">
        <f xml:space="preserve"> INDEX( SV_Categories[svGroupType], MATCH( impacts_minorities[[#This Row],[SV Category]], SV_Categories[svGroupLabel], 0 ) )</f>
        <v>race_black</v>
      </c>
      <c r="F125" s="6" t="str">
        <f xml:space="preserve"> IF( impacts_minorities[[#This Row],[Sector]] = "", "", INDEX(co_sectorInfo[popWeightColumn],MATCH(impacts_minorities[[#This Row],[Sector]],co_sectorInfo[sector],0)))</f>
        <v/>
      </c>
      <c r="G125" s="9" t="s">
        <v>72</v>
      </c>
      <c r="H125" s="6" t="str">
        <f t="shared" si="11"/>
        <v>CONUS</v>
      </c>
      <c r="I125" s="6" t="str">
        <f xml:space="preserve"> IF( ISBLANK( IF( INT( ( impacts_minorities[[#This Row],[Row]] - 1 ) / n_ethnicities ) + 1 = 1, $D$29, $D$30 ) ), "",
         IF( INT( ( impacts_minorities[[#This Row],[Row]] - 1 ) / n_ethnicities ) + 1 = 1, $D$29, $D$30 ) )</f>
        <v/>
      </c>
      <c r="J125" s="6" t="str" cm="1">
        <f t="array" ref="J12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5" s="6" t="str" cm="1">
        <f t="array" ref="K12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5" s="6" t="str" cm="1">
        <f t="array" ref="L12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5" s="6" t="str" cm="1">
        <f t="array" ref="M12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5" s="6" t="str" cm="1">
        <f t="array" ref="N12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5" s="6" t="str" cm="1">
        <f t="array" ref="O12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5" s="6" t="str" cm="1">
        <f t="array" ref="P12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5" s="6" t="str" cm="1">
        <f t="array" ref="Q12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5" s="6" t="str" cm="1">
        <f t="array" ref="R12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5" s="6" t="str" cm="1">
        <f t="array" ref="S12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5" s="6" t="str" cm="1">
        <f t="array" ref="T12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5" s="6" t="str" cm="1">
        <f t="array" ref="U12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5" s="6" t="str" cm="1">
        <f t="array" ref="V12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5" s="6" t="str" cm="1">
        <f t="array" ref="W12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5" s="6" t="str" cm="1">
        <f t="array" ref="X12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5" s="6" t="str" cm="1">
        <f t="array" ref="Y12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5" s="6" t="str" cm="1">
        <f t="array" ref="Z12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6" spans="2:26" x14ac:dyDescent="0.2">
      <c r="B126" s="8" cm="1">
        <f t="array" ref="B126">ROW(impacts_minorities[[#This Row],[Row]]) - ROW(impacts_minorities[#Headers])</f>
        <v>7</v>
      </c>
      <c r="C126" s="6" t="str">
        <f t="shared" si="10"/>
        <v/>
      </c>
      <c r="D126" s="9" t="s">
        <v>65</v>
      </c>
      <c r="E126" s="9" t="str">
        <f xml:space="preserve"> INDEX( SV_Categories[svGroupType], MATCH( impacts_minorities[[#This Row],[SV Category]], SV_Categories[svGroupLabel], 0 ) )</f>
        <v>race_asian</v>
      </c>
      <c r="F126" s="6" t="str">
        <f xml:space="preserve"> IF( impacts_minorities[[#This Row],[Sector]] = "", "", INDEX(co_sectorInfo[popWeightColumn],MATCH(impacts_minorities[[#This Row],[Sector]],co_sectorInfo[sector],0)))</f>
        <v/>
      </c>
      <c r="G126" s="9" t="s">
        <v>72</v>
      </c>
      <c r="H126" s="6" t="str">
        <f t="shared" si="11"/>
        <v>CONUS</v>
      </c>
      <c r="I126" s="6" t="str">
        <f xml:space="preserve"> IF( ISBLANK( IF( INT( ( impacts_minorities[[#This Row],[Row]] - 1 ) / n_ethnicities ) + 1 = 1, $D$29, $D$30 ) ), "",
         IF( INT( ( impacts_minorities[[#This Row],[Row]] - 1 ) / n_ethnicities ) + 1 = 1, $D$29, $D$30 ) )</f>
        <v/>
      </c>
      <c r="J126" s="6" t="str" cm="1">
        <f t="array" ref="J126"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6" s="6" t="str" cm="1">
        <f t="array" ref="K126"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6" s="6" t="str" cm="1">
        <f t="array" ref="L126"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6" s="6" t="str" cm="1">
        <f t="array" ref="M126"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6" s="6" t="str" cm="1">
        <f t="array" ref="N126"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6" s="6" t="str" cm="1">
        <f t="array" ref="O126"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6" s="6" t="str" cm="1">
        <f t="array" ref="P126"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6" s="6" t="str" cm="1">
        <f t="array" ref="Q126"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6" s="6" t="str" cm="1">
        <f t="array" ref="R126"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6" s="6" t="str" cm="1">
        <f t="array" ref="S126"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6" s="6" t="str" cm="1">
        <f t="array" ref="T126"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6" s="6" t="str" cm="1">
        <f t="array" ref="U126"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6" s="6" t="str" cm="1">
        <f t="array" ref="V126"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6" s="6" t="str" cm="1">
        <f t="array" ref="W126"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6" s="6" t="str" cm="1">
        <f t="array" ref="X126"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6" s="6" t="str" cm="1">
        <f t="array" ref="Y126"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6" s="6" t="str" cm="1">
        <f t="array" ref="Z126"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7" spans="2:26" ht="13.5" thickBot="1" x14ac:dyDescent="0.25">
      <c r="B127" s="25" cm="1">
        <f t="array" ref="B127">ROW(impacts_minorities[[#This Row],[Row]]) - ROW(impacts_minorities[#Headers])</f>
        <v>8</v>
      </c>
      <c r="C127" s="26" t="str">
        <f t="shared" si="10"/>
        <v/>
      </c>
      <c r="D127" s="27" t="s">
        <v>66</v>
      </c>
      <c r="E127" s="27" t="str">
        <f xml:space="preserve"> INDEX( SV_Categories[svGroupType], MATCH( impacts_minorities[[#This Row],[SV Category]], SV_Categories[svGroupLabel], 0 ) )</f>
        <v>race_amInd</v>
      </c>
      <c r="F127" s="26" t="str">
        <f xml:space="preserve"> IF( impacts_minorities[[#This Row],[Sector]] = "", "", INDEX(co_sectorInfo[popWeightColumn],MATCH(impacts_minorities[[#This Row],[Sector]],co_sectorInfo[sector],0)))</f>
        <v/>
      </c>
      <c r="G127" s="27" t="s">
        <v>72</v>
      </c>
      <c r="H127" s="26" t="str">
        <f t="shared" si="11"/>
        <v>CONUS</v>
      </c>
      <c r="I127" s="26" t="str">
        <f xml:space="preserve"> IF( ISBLANK( IF( INT( ( impacts_minorities[[#This Row],[Row]] - 1 ) / n_ethnicities ) + 1 = 1, $D$29, $D$30 ) ), "",
         IF( INT( ( impacts_minorities[[#This Row],[Row]] - 1 ) / n_ethnicities ) + 1 = 1, $D$29, $D$30 ) )</f>
        <v/>
      </c>
      <c r="J127" s="26" t="str" cm="1">
        <f t="array" ref="J127"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7" s="26" t="str" cm="1">
        <f t="array" ref="K127"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7" s="26" t="str" cm="1">
        <f t="array" ref="L127"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7" s="26" t="str" cm="1">
        <f t="array" ref="M127"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7" s="26" t="str" cm="1">
        <f t="array" ref="N127"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7" s="26" t="str" cm="1">
        <f t="array" ref="O127"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7" s="26" t="str" cm="1">
        <f t="array" ref="P127"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7" s="26" t="str" cm="1">
        <f t="array" ref="Q127"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7" s="26" t="str" cm="1">
        <f t="array" ref="R127"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7" s="26" t="str" cm="1">
        <f t="array" ref="S127"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7" s="26" t="str" cm="1">
        <f t="array" ref="T127"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7" s="26" t="str" cm="1">
        <f t="array" ref="U127"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7" s="26" t="str" cm="1">
        <f t="array" ref="V127"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7" s="26" t="str" cm="1">
        <f t="array" ref="W127"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7" s="26" t="str" cm="1">
        <f t="array" ref="X127"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7" s="26" t="str" cm="1">
        <f t="array" ref="Y127"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7" s="26" t="str" cm="1">
        <f t="array" ref="Z127"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8" spans="2:26" x14ac:dyDescent="0.2">
      <c r="B128" s="8" cm="1">
        <f t="array" ref="B128">ROW(impacts_minorities[[#This Row],[Row]]) - ROW(impacts_minorities[#Headers])</f>
        <v>9</v>
      </c>
      <c r="C128" s="6" t="str">
        <f t="shared" si="10"/>
        <v/>
      </c>
      <c r="D128" s="9" t="s">
        <v>59</v>
      </c>
      <c r="E128" s="9" t="str">
        <f xml:space="preserve"> INDEX( SV_Categories[svGroupType], MATCH( impacts_minorities[[#This Row],[SV Category]], SV_Categories[svGroupLabel], 0 ) )</f>
        <v>race_white</v>
      </c>
      <c r="F128" s="6" t="str">
        <f xml:space="preserve"> IF( impacts_minorities[[#This Row],[Sector]] = "", "", INDEX(co_sectorInfo[popWeightColumn],MATCH(impacts_minorities[[#This Row],[Sector]],co_sectorInfo[sector],0)))</f>
        <v/>
      </c>
      <c r="G128" s="9" t="s">
        <v>72</v>
      </c>
      <c r="H128" s="6" t="str">
        <f t="shared" si="11"/>
        <v>CONUS</v>
      </c>
      <c r="I128" s="6" t="str">
        <f xml:space="preserve"> IF( ISBLANK( IF( INT( ( impacts_minorities[[#This Row],[Row]] - 1 ) / n_ethnicities ) + 1 = 1, $D$29, $D$30 ) ), "",
         IF( INT( ( impacts_minorities[[#This Row],[Row]] - 1 ) / n_ethnicities ) + 1 = 1, $D$29, $D$30 ) )</f>
        <v/>
      </c>
      <c r="J128" s="6" t="str" cm="1">
        <f t="array" ref="J128"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8" s="6" t="str" cm="1">
        <f t="array" ref="K128"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8" s="6" t="str" cm="1">
        <f t="array" ref="L128"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8" s="6" t="str" cm="1">
        <f t="array" ref="M128"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8" s="6" t="str" cm="1">
        <f t="array" ref="N128"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8" s="6" t="str" cm="1">
        <f t="array" ref="O128"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8" s="6" t="str" cm="1">
        <f t="array" ref="P128"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8" s="6" t="str" cm="1">
        <f t="array" ref="Q128"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8" s="6" t="str" cm="1">
        <f t="array" ref="R128"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8" s="6" t="str" cm="1">
        <f t="array" ref="S128"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8" s="6" t="str" cm="1">
        <f t="array" ref="T128"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8" s="6" t="str" cm="1">
        <f t="array" ref="U128"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8" s="6" t="str" cm="1">
        <f t="array" ref="V128"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8" s="6" t="str" cm="1">
        <f t="array" ref="W128"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8" s="6" t="str" cm="1">
        <f t="array" ref="X128"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8" s="6" t="str" cm="1">
        <f t="array" ref="Y128"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8" s="6" t="str" cm="1">
        <f t="array" ref="Z128"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9" spans="2:26" x14ac:dyDescent="0.2">
      <c r="B129" s="8" cm="1">
        <f t="array" ref="B129">ROW(impacts_minorities[[#This Row],[Row]]) - ROW(impacts_minorities[#Headers])</f>
        <v>10</v>
      </c>
      <c r="C129" s="6" t="str">
        <f t="shared" si="10"/>
        <v/>
      </c>
      <c r="D129" s="9" t="s">
        <v>60</v>
      </c>
      <c r="E129" s="9" t="str">
        <f xml:space="preserve"> INDEX( SV_Categories[svGroupType], MATCH( impacts_minorities[[#This Row],[SV Category]], SV_Categories[svGroupLabel], 0 ) )</f>
        <v>race_multiRacial</v>
      </c>
      <c r="F129" s="6" t="str">
        <f xml:space="preserve"> IF( impacts_minorities[[#This Row],[Sector]] = "", "", INDEX(co_sectorInfo[popWeightColumn],MATCH(impacts_minorities[[#This Row],[Sector]],co_sectorInfo[sector],0)))</f>
        <v/>
      </c>
      <c r="G129" s="9" t="s">
        <v>72</v>
      </c>
      <c r="H129" s="6" t="str">
        <f t="shared" si="11"/>
        <v>CONUS</v>
      </c>
      <c r="I129" s="6" t="str">
        <f xml:space="preserve"> IF( ISBLANK( IF( INT( ( impacts_minorities[[#This Row],[Row]] - 1 ) / n_ethnicities ) + 1 = 1, $D$29, $D$30 ) ), "",
         IF( INT( ( impacts_minorities[[#This Row],[Row]] - 1 ) / n_ethnicities ) + 1 = 1, $D$29, $D$30 ) )</f>
        <v/>
      </c>
      <c r="J129" s="6" t="str" cm="1">
        <f t="array" ref="J129"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9" s="6" t="str" cm="1">
        <f t="array" ref="K129"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9" s="6" t="str" cm="1">
        <f t="array" ref="L129"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9" s="6" t="str" cm="1">
        <f t="array" ref="M129"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9" s="6" t="str" cm="1">
        <f t="array" ref="N129"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9" s="6" t="str" cm="1">
        <f t="array" ref="O129"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9" s="6" t="str" cm="1">
        <f t="array" ref="P129"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9" s="6" t="str" cm="1">
        <f t="array" ref="Q129"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9" s="6" t="str" cm="1">
        <f t="array" ref="R129"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9" s="6" t="str" cm="1">
        <f t="array" ref="S129"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9" s="6" t="str" cm="1">
        <f t="array" ref="T129"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9" s="6" t="str" cm="1">
        <f t="array" ref="U129"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9" s="6" t="str" cm="1">
        <f t="array" ref="V129"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9" s="6" t="str" cm="1">
        <f t="array" ref="W129"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9" s="6" t="str" cm="1">
        <f t="array" ref="X129"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9" s="6" t="str" cm="1">
        <f t="array" ref="Y129"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9" s="6" t="str" cm="1">
        <f t="array" ref="Z129"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0" spans="2:26" x14ac:dyDescent="0.2">
      <c r="B130" s="8" cm="1">
        <f t="array" ref="B130">ROW(impacts_minorities[[#This Row],[Row]]) - ROW(impacts_minorities[#Headers])</f>
        <v>11</v>
      </c>
      <c r="C130" s="6" t="str">
        <f t="shared" si="10"/>
        <v/>
      </c>
      <c r="D130" s="9" t="s">
        <v>61</v>
      </c>
      <c r="E130" s="9" t="str">
        <f xml:space="preserve"> INDEX( SV_Categories[svGroupType], MATCH( impacts_minorities[[#This Row],[SV Category]], SV_Categories[svGroupLabel], 0 ) )</f>
        <v>race_pacIsl</v>
      </c>
      <c r="F130" s="6" t="str">
        <f xml:space="preserve"> IF( impacts_minorities[[#This Row],[Sector]] = "", "", INDEX(co_sectorInfo[popWeightColumn],MATCH(impacts_minorities[[#This Row],[Sector]],co_sectorInfo[sector],0)))</f>
        <v/>
      </c>
      <c r="G130" s="9" t="s">
        <v>72</v>
      </c>
      <c r="H130" s="6" t="str">
        <f t="shared" si="11"/>
        <v>CONUS</v>
      </c>
      <c r="I130" s="6" t="str">
        <f xml:space="preserve"> IF( ISBLANK( IF( INT( ( impacts_minorities[[#This Row],[Row]] - 1 ) / n_ethnicities ) + 1 = 1, $D$29, $D$30 ) ), "",
         IF( INT( ( impacts_minorities[[#This Row],[Row]] - 1 ) / n_ethnicities ) + 1 = 1, $D$29, $D$30 ) )</f>
        <v/>
      </c>
      <c r="J130" s="6" t="str" cm="1">
        <f t="array" ref="J13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0" s="6" t="str" cm="1">
        <f t="array" ref="K13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0" s="6" t="str" cm="1">
        <f t="array" ref="L13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0" s="6" t="str" cm="1">
        <f t="array" ref="M13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0" s="6" t="str" cm="1">
        <f t="array" ref="N13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0" s="6" t="str" cm="1">
        <f t="array" ref="O13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0" s="6" t="str" cm="1">
        <f t="array" ref="P13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0" s="6" t="str" cm="1">
        <f t="array" ref="Q13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0" s="6" t="str" cm="1">
        <f t="array" ref="R13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0" s="6" t="str" cm="1">
        <f t="array" ref="S13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0" s="6" t="str" cm="1">
        <f t="array" ref="T13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0" s="6" t="str" cm="1">
        <f t="array" ref="U13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0" s="6" t="str" cm="1">
        <f t="array" ref="V13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0" s="6" t="str" cm="1">
        <f t="array" ref="W13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0" s="6" t="str" cm="1">
        <f t="array" ref="X13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0" s="6" t="str" cm="1">
        <f t="array" ref="Y13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0" s="6" t="str" cm="1">
        <f t="array" ref="Z13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1" spans="2:26" x14ac:dyDescent="0.2">
      <c r="B131" s="8" cm="1">
        <f t="array" ref="B131">ROW(impacts_minorities[[#This Row],[Row]]) - ROW(impacts_minorities[#Headers])</f>
        <v>12</v>
      </c>
      <c r="C131" s="6" t="str">
        <f t="shared" si="10"/>
        <v/>
      </c>
      <c r="D131" s="9" t="s">
        <v>62</v>
      </c>
      <c r="E131" s="9" t="str">
        <f xml:space="preserve"> INDEX( SV_Categories[svGroupType], MATCH( impacts_minorities[[#This Row],[SV Category]], SV_Categories[svGroupLabel], 0 ) )</f>
        <v>race_otherRace</v>
      </c>
      <c r="F131" s="6" t="str">
        <f xml:space="preserve"> IF( impacts_minorities[[#This Row],[Sector]] = "", "", INDEX(co_sectorInfo[popWeightColumn],MATCH(impacts_minorities[[#This Row],[Sector]],co_sectorInfo[sector],0)))</f>
        <v/>
      </c>
      <c r="G131" s="9" t="s">
        <v>72</v>
      </c>
      <c r="H131" s="6" t="str">
        <f t="shared" si="11"/>
        <v>CONUS</v>
      </c>
      <c r="I131" s="6" t="str">
        <f xml:space="preserve"> IF( ISBLANK( IF( INT( ( impacts_minorities[[#This Row],[Row]] - 1 ) / n_ethnicities ) + 1 = 1, $D$29, $D$30 ) ), "",
         IF( INT( ( impacts_minorities[[#This Row],[Row]] - 1 ) / n_ethnicities ) + 1 = 1, $D$29, $D$30 ) )</f>
        <v/>
      </c>
      <c r="J131" s="6" t="str" cm="1">
        <f t="array" ref="J13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1" s="6" t="str" cm="1">
        <f t="array" ref="K13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1" s="6" t="str" cm="1">
        <f t="array" ref="L13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1" s="6" t="str" cm="1">
        <f t="array" ref="M13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1" s="6" t="str" cm="1">
        <f t="array" ref="N13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1" s="6" t="str" cm="1">
        <f t="array" ref="O13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1" s="6" t="str" cm="1">
        <f t="array" ref="P13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1" s="6" t="str" cm="1">
        <f t="array" ref="Q13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1" s="6" t="str" cm="1">
        <f t="array" ref="R13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1" s="6" t="str" cm="1">
        <f t="array" ref="S13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1" s="6" t="str" cm="1">
        <f t="array" ref="T13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1" s="6" t="str" cm="1">
        <f t="array" ref="U13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1" s="6" t="str" cm="1">
        <f t="array" ref="V13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1" s="6" t="str" cm="1">
        <f t="array" ref="W13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1" s="6" t="str" cm="1">
        <f t="array" ref="X13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1" s="6" t="str" cm="1">
        <f t="array" ref="Y13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1" s="6" t="str" cm="1">
        <f t="array" ref="Z13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2" spans="2:26" x14ac:dyDescent="0.2">
      <c r="B132" s="8" cm="1">
        <f t="array" ref="B132">ROW(impacts_minorities[[#This Row],[Row]]) - ROW(impacts_minorities[#Headers])</f>
        <v>13</v>
      </c>
      <c r="C132" s="6" t="str">
        <f t="shared" si="10"/>
        <v/>
      </c>
      <c r="D132" s="9" t="s">
        <v>63</v>
      </c>
      <c r="E132" s="9" t="str">
        <f xml:space="preserve"> INDEX( SV_Categories[svGroupType], MATCH( impacts_minorities[[#This Row],[SV Category]], SV_Categories[svGroupLabel], 0 ) )</f>
        <v>race_hispanic</v>
      </c>
      <c r="F132" s="6" t="str">
        <f xml:space="preserve"> IF( impacts_minorities[[#This Row],[Sector]] = "", "", INDEX(co_sectorInfo[popWeightColumn],MATCH(impacts_minorities[[#This Row],[Sector]],co_sectorInfo[sector],0)))</f>
        <v/>
      </c>
      <c r="G132" s="9" t="s">
        <v>72</v>
      </c>
      <c r="H132" s="6" t="str">
        <f t="shared" si="11"/>
        <v>CONUS</v>
      </c>
      <c r="I132" s="6" t="str">
        <f xml:space="preserve"> IF( ISBLANK( IF( INT( ( impacts_minorities[[#This Row],[Row]] - 1 ) / n_ethnicities ) + 1 = 1, $D$29, $D$30 ) ), "",
         IF( INT( ( impacts_minorities[[#This Row],[Row]] - 1 ) / n_ethnicities ) + 1 = 1, $D$29, $D$30 ) )</f>
        <v/>
      </c>
      <c r="J132" s="6" t="str" cm="1">
        <f t="array" ref="J13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2" s="6" t="str" cm="1">
        <f t="array" ref="K13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2" s="6" t="str" cm="1">
        <f t="array" ref="L13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2" s="6" t="str" cm="1">
        <f t="array" ref="M13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2" s="6" t="str" cm="1">
        <f t="array" ref="N13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2" s="6" t="str" cm="1">
        <f t="array" ref="O13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2" s="6" t="str" cm="1">
        <f t="array" ref="P13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2" s="6" t="str" cm="1">
        <f t="array" ref="Q13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2" s="6" t="str" cm="1">
        <f t="array" ref="R13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2" s="6" t="str" cm="1">
        <f t="array" ref="S13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2" s="6" t="str" cm="1">
        <f t="array" ref="T13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2" s="6" t="str" cm="1">
        <f t="array" ref="U13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2" s="6" t="str" cm="1">
        <f t="array" ref="V13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2" s="6" t="str" cm="1">
        <f t="array" ref="W13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2" s="6" t="str" cm="1">
        <f t="array" ref="X13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2" s="6" t="str" cm="1">
        <f t="array" ref="Y13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2" s="6" t="str" cm="1">
        <f t="array" ref="Z13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3" spans="2:26" x14ac:dyDescent="0.2">
      <c r="B133" s="8" cm="1">
        <f t="array" ref="B133">ROW(impacts_minorities[[#This Row],[Row]]) - ROW(impacts_minorities[#Headers])</f>
        <v>14</v>
      </c>
      <c r="C133" s="6" t="str">
        <f t="shared" si="10"/>
        <v/>
      </c>
      <c r="D133" s="9" t="s">
        <v>64</v>
      </c>
      <c r="E133" s="9" t="str">
        <f xml:space="preserve"> INDEX( SV_Categories[svGroupType], MATCH( impacts_minorities[[#This Row],[SV Category]], SV_Categories[svGroupLabel], 0 ) )</f>
        <v>race_black</v>
      </c>
      <c r="F133" s="6" t="str">
        <f xml:space="preserve"> IF( impacts_minorities[[#This Row],[Sector]] = "", "", INDEX(co_sectorInfo[popWeightColumn],MATCH(impacts_minorities[[#This Row],[Sector]],co_sectorInfo[sector],0)))</f>
        <v/>
      </c>
      <c r="G133" s="9" t="s">
        <v>72</v>
      </c>
      <c r="H133" s="6" t="str">
        <f t="shared" si="11"/>
        <v>CONUS</v>
      </c>
      <c r="I133" s="6" t="str">
        <f xml:space="preserve"> IF( ISBLANK( IF( INT( ( impacts_minorities[[#This Row],[Row]] - 1 ) / n_ethnicities ) + 1 = 1, $D$29, $D$30 ) ), "",
         IF( INT( ( impacts_minorities[[#This Row],[Row]] - 1 ) / n_ethnicities ) + 1 = 1, $D$29, $D$30 ) )</f>
        <v/>
      </c>
      <c r="J133" s="6" t="str" cm="1">
        <f t="array" ref="J13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3" s="6" t="str" cm="1">
        <f t="array" ref="K13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3" s="6" t="str" cm="1">
        <f t="array" ref="L13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3" s="6" t="str" cm="1">
        <f t="array" ref="M13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3" s="6" t="str" cm="1">
        <f t="array" ref="N13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3" s="6" t="str" cm="1">
        <f t="array" ref="O13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3" s="6" t="str" cm="1">
        <f t="array" ref="P13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3" s="6" t="str" cm="1">
        <f t="array" ref="Q13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3" s="6" t="str" cm="1">
        <f t="array" ref="R13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3" s="6" t="str" cm="1">
        <f t="array" ref="S13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3" s="6" t="str" cm="1">
        <f t="array" ref="T13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3" s="6" t="str" cm="1">
        <f t="array" ref="U13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3" s="6" t="str" cm="1">
        <f t="array" ref="V13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3" s="6" t="str" cm="1">
        <f t="array" ref="W13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3" s="6" t="str" cm="1">
        <f t="array" ref="X13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3" s="6" t="str" cm="1">
        <f t="array" ref="Y13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3" s="6" t="str" cm="1">
        <f t="array" ref="Z13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4" spans="2:26" x14ac:dyDescent="0.2">
      <c r="B134" s="8" cm="1">
        <f t="array" ref="B134">ROW(impacts_minorities[[#This Row],[Row]]) - ROW(impacts_minorities[#Headers])</f>
        <v>15</v>
      </c>
      <c r="C134" s="6" t="str">
        <f t="shared" si="10"/>
        <v/>
      </c>
      <c r="D134" s="9" t="s">
        <v>65</v>
      </c>
      <c r="E134" s="9" t="str">
        <f xml:space="preserve"> INDEX( SV_Categories[svGroupType], MATCH( impacts_minorities[[#This Row],[SV Category]], SV_Categories[svGroupLabel], 0 ) )</f>
        <v>race_asian</v>
      </c>
      <c r="F134" s="6" t="str">
        <f xml:space="preserve"> IF( impacts_minorities[[#This Row],[Sector]] = "", "", INDEX(co_sectorInfo[popWeightColumn],MATCH(impacts_minorities[[#This Row],[Sector]],co_sectorInfo[sector],0)))</f>
        <v/>
      </c>
      <c r="G134" s="9" t="s">
        <v>72</v>
      </c>
      <c r="H134" s="6" t="str">
        <f t="shared" si="11"/>
        <v>CONUS</v>
      </c>
      <c r="I134" s="6" t="str">
        <f xml:space="preserve"> IF( ISBLANK( IF( INT( ( impacts_minorities[[#This Row],[Row]] - 1 ) / n_ethnicities ) + 1 = 1, $D$29, $D$30 ) ), "",
         IF( INT( ( impacts_minorities[[#This Row],[Row]] - 1 ) / n_ethnicities ) + 1 = 1, $D$29, $D$30 ) )</f>
        <v/>
      </c>
      <c r="J134" s="6" t="str" cm="1">
        <f t="array" ref="J13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4" s="6" t="str" cm="1">
        <f t="array" ref="K13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4" s="6" t="str" cm="1">
        <f t="array" ref="L13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4" s="6" t="str" cm="1">
        <f t="array" ref="M13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4" s="6" t="str" cm="1">
        <f t="array" ref="N13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4" s="6" t="str" cm="1">
        <f t="array" ref="O13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4" s="6" t="str" cm="1">
        <f t="array" ref="P13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4" s="6" t="str" cm="1">
        <f t="array" ref="Q13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4" s="6" t="str" cm="1">
        <f t="array" ref="R13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4" s="6" t="str" cm="1">
        <f t="array" ref="S13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4" s="6" t="str" cm="1">
        <f t="array" ref="T13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4" s="6" t="str" cm="1">
        <f t="array" ref="U13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4" s="6" t="str" cm="1">
        <f t="array" ref="V13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4" s="6" t="str" cm="1">
        <f t="array" ref="W13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4" s="6" t="str" cm="1">
        <f t="array" ref="X13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4" s="6" t="str" cm="1">
        <f t="array" ref="Y13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4" s="6" t="str" cm="1">
        <f t="array" ref="Z13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5" spans="2:26" x14ac:dyDescent="0.2">
      <c r="B135" s="8" cm="1">
        <f t="array" ref="B135">ROW(impacts_minorities[[#This Row],[Row]]) - ROW(impacts_minorities[#Headers])</f>
        <v>16</v>
      </c>
      <c r="C135" s="6" t="str">
        <f t="shared" si="10"/>
        <v/>
      </c>
      <c r="D135" s="9" t="s">
        <v>66</v>
      </c>
      <c r="E135" s="9" t="str">
        <f xml:space="preserve"> INDEX( SV_Categories[svGroupType], MATCH( impacts_minorities[[#This Row],[SV Category]], SV_Categories[svGroupLabel], 0 ) )</f>
        <v>race_amInd</v>
      </c>
      <c r="F135" s="6" t="str">
        <f xml:space="preserve"> IF( impacts_minorities[[#This Row],[Sector]] = "", "", INDEX(co_sectorInfo[popWeightColumn],MATCH(impacts_minorities[[#This Row],[Sector]],co_sectorInfo[sector],0)))</f>
        <v/>
      </c>
      <c r="G135" s="9" t="s">
        <v>72</v>
      </c>
      <c r="H135" s="6" t="str">
        <f t="shared" si="11"/>
        <v>CONUS</v>
      </c>
      <c r="I135" s="6" t="str">
        <f xml:space="preserve"> IF( ISBLANK( IF( INT( ( impacts_minorities[[#This Row],[Row]] - 1 ) / n_ethnicities ) + 1 = 1, $D$29, $D$30 ) ), "",
         IF( INT( ( impacts_minorities[[#This Row],[Row]] - 1 ) / n_ethnicities ) + 1 = 1, $D$29, $D$30 ) )</f>
        <v/>
      </c>
      <c r="J135" s="6" t="str" cm="1">
        <f t="array" ref="J13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5" s="6" t="str" cm="1">
        <f t="array" ref="K13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5" s="6" t="str" cm="1">
        <f t="array" ref="L13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5" s="6" t="str" cm="1">
        <f t="array" ref="M13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5" s="6" t="str" cm="1">
        <f t="array" ref="N13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5" s="6" t="str" cm="1">
        <f t="array" ref="O13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5" s="6" t="str" cm="1">
        <f t="array" ref="P13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5" s="6" t="str" cm="1">
        <f t="array" ref="Q13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5" s="6" t="str" cm="1">
        <f t="array" ref="R13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5" s="6" t="str" cm="1">
        <f t="array" ref="S13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5" s="6" t="str" cm="1">
        <f t="array" ref="T13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5" s="6" t="str" cm="1">
        <f t="array" ref="U13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5" s="6" t="str" cm="1">
        <f t="array" ref="V13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5" s="6" t="str" cm="1">
        <f t="array" ref="W13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5" s="6" t="str" cm="1">
        <f t="array" ref="X13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5" s="6" t="str" cm="1">
        <f t="array" ref="Y13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5" s="6" t="str" cm="1">
        <f t="array" ref="Z13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sheetData>
  <phoneticPr fontId="3" type="noConversion"/>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CD33-0DC8-4D2B-B930-7B4811E34236}">
  <sheetPr>
    <tabColor theme="4" tint="0.59999389629810485"/>
  </sheetPr>
  <dimension ref="B1:AT103"/>
  <sheetViews>
    <sheetView zoomScale="80" zoomScaleNormal="80" workbookViewId="0">
      <selection activeCell="I47" sqref="I47"/>
    </sheetView>
  </sheetViews>
  <sheetFormatPr defaultRowHeight="15" x14ac:dyDescent="0.25"/>
  <cols>
    <col min="2" max="2" width="7.140625" style="6" bestFit="1" customWidth="1"/>
    <col min="3" max="3" width="30" style="6" customWidth="1"/>
    <col min="4" max="5" width="26.42578125" style="6" customWidth="1"/>
    <col min="6" max="11" width="20.85546875" style="6" customWidth="1"/>
    <col min="12" max="28" width="20.85546875" customWidth="1"/>
    <col min="30" max="30" width="12.7109375" bestFit="1" customWidth="1"/>
  </cols>
  <sheetData>
    <row r="1" spans="3:37" x14ac:dyDescent="0.25">
      <c r="C1" s="32" t="s">
        <v>31</v>
      </c>
    </row>
    <row r="2" spans="3:37" x14ac:dyDescent="0.25">
      <c r="C2" s="16" t="s">
        <v>74</v>
      </c>
      <c r="D2" s="15"/>
      <c r="E2" s="6" t="e">
        <f>IF(INDEX(co_sectorInfo[Missing SV Group Text],MATCH(input_sector,co_sectorInfo[sector],0))&lt;&gt;"",_xlfn.TEXTJOIN(" ",TRUE,INDEX(co_sectorInfo[Missing SV Group Text],MATCH(input_sector,co_sectorInfo[sector],0)),"not included for",input_sector),"")</f>
        <v>#N/A</v>
      </c>
    </row>
    <row r="3" spans="3:37" x14ac:dyDescent="0.25">
      <c r="C3" s="16" t="s">
        <v>35</v>
      </c>
      <c r="D3" s="15" t="s">
        <v>36</v>
      </c>
    </row>
    <row r="4" spans="3:37" x14ac:dyDescent="0.25">
      <c r="C4" s="16" t="s">
        <v>38</v>
      </c>
      <c r="D4" s="17" t="s">
        <v>39</v>
      </c>
      <c r="AK4" s="2"/>
    </row>
    <row r="28" spans="2:11" x14ac:dyDescent="0.25">
      <c r="B28" s="6" t="s">
        <v>41</v>
      </c>
      <c r="C28" s="6" t="s">
        <v>32</v>
      </c>
      <c r="D28" s="18" t="s">
        <v>34</v>
      </c>
      <c r="E28" s="18" t="s">
        <v>35</v>
      </c>
      <c r="F28" s="18" t="s">
        <v>38</v>
      </c>
      <c r="G28" s="18" t="s">
        <v>75</v>
      </c>
      <c r="H28" s="18" t="s">
        <v>76</v>
      </c>
      <c r="K28"/>
    </row>
    <row r="29" spans="2:11" x14ac:dyDescent="0.25">
      <c r="B29" s="8">
        <f xml:space="preserve"> ROW( risk_table1[[#This Row],[Row]] ) - ROW( risk_table1[[#Headers],[Row]] )</f>
        <v>1</v>
      </c>
      <c r="C29" s="9" t="s">
        <v>23</v>
      </c>
      <c r="D29" s="20" t="str">
        <f t="shared" ref="D29:D32" si="0" xml:space="preserve"> IF( ISBLANK( $D$2 ), "", $D$2 )</f>
        <v/>
      </c>
      <c r="E29" s="20" t="str">
        <f t="shared" ref="E29:E32" si="1" xml:space="preserve"> IF( ISBLANK( $D$3 ), "", $D$3 )</f>
        <v>CONUS</v>
      </c>
      <c r="F29" s="21" t="str">
        <f t="shared" ref="F29:F32" si="2" xml:space="preserve"> IF( ISBLANK( $D$4 ), "", $D$4 )</f>
        <v>2050</v>
      </c>
      <c r="G29" s="20" t="str" cm="1">
        <f t="array" ref="G29"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29" s="20" t="str">
        <f xml:space="preserve"> IF( OR( risk_table1[[#This Row],[Reference Scenario]] = "", risk_table1[[#This Row],[Region]] = "", risk_table1[[#This Row],[Year]] = "" ), "",IF(risk_table1[[#This Row],[Value]]&gt;=0,-0.1,0.1) )</f>
        <v/>
      </c>
      <c r="K29"/>
    </row>
    <row r="30" spans="2:11" x14ac:dyDescent="0.25">
      <c r="B30" s="8">
        <f xml:space="preserve"> ROW( risk_table1[[#This Row],[Row]] ) - ROW( risk_table1[[#Headers],[Row]] )</f>
        <v>2</v>
      </c>
      <c r="C30" s="9" t="s">
        <v>33</v>
      </c>
      <c r="D30" s="20" t="str">
        <f t="shared" si="0"/>
        <v/>
      </c>
      <c r="E30" s="20" t="str">
        <f t="shared" si="1"/>
        <v>CONUS</v>
      </c>
      <c r="F30" s="21" t="str">
        <f t="shared" si="2"/>
        <v>2050</v>
      </c>
      <c r="G30" s="20" t="str" cm="1">
        <f t="array" ref="G30"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0" s="20" t="str">
        <f xml:space="preserve"> IF( OR( risk_table1[[#This Row],[Reference Scenario]] = "", risk_table1[[#This Row],[Region]] = "", risk_table1[[#This Row],[Year]] = "" ), "",IF(risk_table1[[#This Row],[Value]]&gt;=0,-0.1,0.1) )</f>
        <v/>
      </c>
      <c r="K30"/>
    </row>
    <row r="31" spans="2:11" x14ac:dyDescent="0.25">
      <c r="B31" s="8">
        <f xml:space="preserve"> ROW( risk_table1[[#This Row],[Row]] ) - ROW( risk_table1[[#Headers],[Row]] )</f>
        <v>3</v>
      </c>
      <c r="C31" s="9" t="s">
        <v>27</v>
      </c>
      <c r="D31" s="20" t="str">
        <f t="shared" si="0"/>
        <v/>
      </c>
      <c r="E31" s="20" t="str">
        <f t="shared" si="1"/>
        <v>CONUS</v>
      </c>
      <c r="F31" s="21" t="str">
        <f t="shared" si="2"/>
        <v>2050</v>
      </c>
      <c r="G31" s="20" t="str" cm="1">
        <f t="array" ref="G3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1" s="20" t="str">
        <f xml:space="preserve"> IF( OR( risk_table1[[#This Row],[Reference Scenario]] = "", risk_table1[[#This Row],[Region]] = "", risk_table1[[#This Row],[Year]] = "" ), "",IF(risk_table1[[#This Row],[Value]]&gt;=0,-0.1,0.1) )</f>
        <v/>
      </c>
      <c r="K31"/>
    </row>
    <row r="32" spans="2:11" x14ac:dyDescent="0.25">
      <c r="B32" s="8">
        <f xml:space="preserve"> ROW( risk_table1[[#This Row],[Row]] ) - ROW( risk_table1[[#Headers],[Row]] )</f>
        <v>4</v>
      </c>
      <c r="C32" s="9" t="s">
        <v>29</v>
      </c>
      <c r="D32" s="20" t="str">
        <f t="shared" si="0"/>
        <v/>
      </c>
      <c r="E32" s="20" t="str">
        <f t="shared" si="1"/>
        <v>CONUS</v>
      </c>
      <c r="F32" s="21" t="str">
        <f t="shared" si="2"/>
        <v>2050</v>
      </c>
      <c r="G32" s="20" t="str" cm="1">
        <f t="array" ref="G32"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2" s="20" t="str">
        <f xml:space="preserve"> IF( OR( risk_table1[[#This Row],[Reference Scenario]] = "", risk_table1[[#This Row],[Region]] = "", risk_table1[[#This Row],[Year]] = "" ), "",IF(risk_table1[[#This Row],[Value]]&gt;=0,-0.1,0.1) )</f>
        <v/>
      </c>
      <c r="K32"/>
    </row>
    <row r="35" spans="2:46" x14ac:dyDescent="0.25">
      <c r="C35" s="13"/>
    </row>
    <row r="36" spans="2:46" x14ac:dyDescent="0.25">
      <c r="B36" s="6" t="s">
        <v>41</v>
      </c>
      <c r="C36" s="6" t="s">
        <v>0</v>
      </c>
      <c r="D36" s="6" t="s">
        <v>67</v>
      </c>
      <c r="E36" s="6" t="s">
        <v>68</v>
      </c>
      <c r="F36" s="6" t="s">
        <v>69</v>
      </c>
      <c r="G36" s="6" t="s">
        <v>70</v>
      </c>
      <c r="H36" s="6" t="s">
        <v>35</v>
      </c>
      <c r="I36" s="6" t="s">
        <v>77</v>
      </c>
      <c r="J36" s="6" t="s">
        <v>71</v>
      </c>
      <c r="K36" s="2" t="s">
        <v>42</v>
      </c>
      <c r="L36" s="2" t="s">
        <v>43</v>
      </c>
      <c r="M36" s="2" t="s">
        <v>44</v>
      </c>
      <c r="N36" s="2" t="s">
        <v>45</v>
      </c>
      <c r="O36" s="2" t="s">
        <v>46</v>
      </c>
      <c r="P36" s="2" t="s">
        <v>47</v>
      </c>
      <c r="Q36" s="2" t="s">
        <v>48</v>
      </c>
      <c r="R36" s="2" t="s">
        <v>49</v>
      </c>
      <c r="S36" s="2" t="s">
        <v>39</v>
      </c>
      <c r="T36" s="2" t="s">
        <v>50</v>
      </c>
      <c r="U36" s="2" t="s">
        <v>51</v>
      </c>
      <c r="V36" s="2" t="s">
        <v>52</v>
      </c>
      <c r="W36" s="2" t="s">
        <v>53</v>
      </c>
      <c r="X36" s="2" t="s">
        <v>54</v>
      </c>
      <c r="Y36" s="2" t="s">
        <v>55</v>
      </c>
      <c r="Z36" s="2" t="s">
        <v>56</v>
      </c>
      <c r="AA36" s="2" t="s">
        <v>57</v>
      </c>
    </row>
    <row r="37" spans="2:46" x14ac:dyDescent="0.25">
      <c r="B37" s="8" cm="1">
        <f t="array" ref="B37">ROW(risk_mainTable[[#This Row],[Row]]) - ROW(risk_mainTable[#Headers])</f>
        <v>1</v>
      </c>
      <c r="C37" s="8" t="str">
        <f t="shared" ref="C37:C52" si="3" xml:space="preserve"> mv_sector</f>
        <v/>
      </c>
      <c r="D37" s="9" t="s">
        <v>23</v>
      </c>
      <c r="E37" s="6" t="str">
        <f>INDEX(SV_Categories[svGroupType],MATCH(risk_mainTable[[#This Row],[SV Category]],SV_Categories[svGroupLabel],0))</f>
        <v>sv_lowIncome</v>
      </c>
      <c r="F37" s="6" t="str" cm="1">
        <f t="array" ref="F3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7" s="9" t="s">
        <v>72</v>
      </c>
      <c r="H37" s="6" t="str">
        <f t="shared" ref="H37:H68" si="4" xml:space="preserve"> IF( ISBLANK( $D$3 ), "", $D$3 )</f>
        <v>CONUS</v>
      </c>
      <c r="I37" s="6" t="str">
        <f xml:space="preserve"> IF( risk_mainTable[[#This Row],[Sector]] = "", "",  INDEX(co_sectorInfo[rateUnit],MATCH(risk_mainTable[[#This Row],[Sector]],co_sectorInfo[sector],0)) )</f>
        <v/>
      </c>
      <c r="J37" s="6" t="str">
        <f>'Control Panel'!$C$36</f>
        <v/>
      </c>
      <c r="K37" s="3" t="str" cm="1">
        <f t="array" ref="K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7" s="3" t="str" cm="1">
        <f t="array" ref="L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7" s="3" t="str" cm="1">
        <f t="array" ref="M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7" s="3" t="str" cm="1">
        <f t="array" ref="N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7" s="3" t="str" cm="1">
        <f t="array" ref="O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7" s="3" t="str" cm="1">
        <f t="array" ref="P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7" s="3" t="str" cm="1">
        <f t="array" ref="Q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7" s="3" t="str" cm="1">
        <f t="array" ref="R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7" s="3" t="str" cm="1">
        <f t="array" ref="S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7" s="3" t="str" cm="1">
        <f t="array" ref="T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7" s="3" t="str" cm="1">
        <f t="array" ref="U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7" s="3" t="str" cm="1">
        <f t="array" ref="V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7" s="3" t="str" cm="1">
        <f t="array" ref="W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7" s="3" t="str" cm="1">
        <f t="array" ref="X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7" s="3" t="str" cm="1">
        <f t="array" ref="Y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7" s="3" t="str" cm="1">
        <f t="array" ref="Z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7" s="3" t="str" cm="1">
        <f t="array" ref="AA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38" spans="2:46" x14ac:dyDescent="0.25">
      <c r="B38" s="8" cm="1">
        <f t="array" ref="B38">ROW(risk_mainTable[[#This Row],[Row]]) - ROW(risk_mainTable[#Headers])</f>
        <v>2</v>
      </c>
      <c r="C38" s="8" t="str">
        <f t="shared" si="3"/>
        <v/>
      </c>
      <c r="D38" s="9" t="s">
        <v>23</v>
      </c>
      <c r="E38" s="6" t="str">
        <f>INDEX(SV_Categories[svGroupType],MATCH(risk_mainTable[[#This Row],[SV Category]],SV_Categories[svGroupLabel],0))</f>
        <v>sv_lowIncome</v>
      </c>
      <c r="F38" s="6" t="str" cm="1">
        <f t="array" ref="F3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8" s="9" t="s">
        <v>72</v>
      </c>
      <c r="H38" s="6" t="str">
        <f t="shared" si="4"/>
        <v>CONUS</v>
      </c>
      <c r="I38" s="6" t="str">
        <f xml:space="preserve"> IF( risk_mainTable[[#This Row],[Sector]] = "", "",  INDEX(co_sectorInfo[rateUnit],MATCH(risk_mainTable[[#This Row],[Sector]],co_sectorInfo[sector],0)) )</f>
        <v/>
      </c>
      <c r="J38" s="6" t="str">
        <f>'Control Panel'!$C$37</f>
        <v/>
      </c>
      <c r="K38" s="3" t="str" cm="1">
        <f t="array" ref="K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8" s="3" t="str" cm="1">
        <f t="array" ref="L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8" s="3" t="str" cm="1">
        <f t="array" ref="M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8" s="3" t="str" cm="1">
        <f t="array" ref="N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8" s="3" t="str" cm="1">
        <f t="array" ref="O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8" s="3" t="str" cm="1">
        <f t="array" ref="P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8" s="3" t="str" cm="1">
        <f t="array" ref="Q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8" s="3" t="str" cm="1">
        <f t="array" ref="R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8" s="3" t="str" cm="1">
        <f t="array" ref="S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8" s="3" t="str" cm="1">
        <f t="array" ref="T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8" s="3" t="str" cm="1">
        <f t="array" ref="U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8" s="3" t="str" cm="1">
        <f t="array" ref="V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8" s="3" t="str" cm="1">
        <f t="array" ref="W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8" s="3" t="str" cm="1">
        <f t="array" ref="X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8" s="3" t="str" cm="1">
        <f t="array" ref="Y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8" s="3" t="str" cm="1">
        <f t="array" ref="Z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8" s="3" t="str" cm="1">
        <f t="array" ref="AA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39" spans="2:46" x14ac:dyDescent="0.25">
      <c r="B39" s="8" cm="1">
        <f t="array" ref="B39">ROW(risk_mainTable[[#This Row],[Row]]) - ROW(risk_mainTable[#Headers])</f>
        <v>3</v>
      </c>
      <c r="C39" s="8" t="str">
        <f t="shared" si="3"/>
        <v/>
      </c>
      <c r="D39" s="9" t="s">
        <v>23</v>
      </c>
      <c r="E39" s="6" t="str">
        <f>INDEX(SV_Categories[svGroupType],MATCH(risk_mainTable[[#This Row],[SV Category]],SV_Categories[svGroupLabel],0))</f>
        <v>sv_lowIncome</v>
      </c>
      <c r="F39" s="6" t="str" cm="1">
        <f t="array" ref="F3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9" s="9" t="s">
        <v>72</v>
      </c>
      <c r="H39" s="6" t="str">
        <f t="shared" si="4"/>
        <v>CONUS</v>
      </c>
      <c r="I39" s="6" t="str">
        <f xml:space="preserve"> IF( risk_mainTable[[#This Row],[Sector]] = "", "",  INDEX(co_sectorInfo[rateUnit],MATCH(risk_mainTable[[#This Row],[Sector]],co_sectorInfo[sector],0)) )</f>
        <v/>
      </c>
      <c r="J39" s="6" t="str">
        <f>'Control Panel'!$C$38</f>
        <v/>
      </c>
      <c r="K39" s="3" t="str" cm="1">
        <f t="array" ref="K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9" s="3" t="str" cm="1">
        <f t="array" ref="L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9" s="3" t="str" cm="1">
        <f t="array" ref="M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9" s="3" t="str" cm="1">
        <f t="array" ref="N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9" s="3" t="str" cm="1">
        <f t="array" ref="O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9" s="3" t="str" cm="1">
        <f t="array" ref="P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9" s="3" t="str" cm="1">
        <f t="array" ref="Q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9" s="3" t="str" cm="1">
        <f t="array" ref="R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9" s="3" t="str" cm="1">
        <f t="array" ref="S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9" s="3" t="str" cm="1">
        <f t="array" ref="T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9" s="3" t="str" cm="1">
        <f t="array" ref="U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9" s="3" t="str" cm="1">
        <f t="array" ref="V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9" s="3" t="str" cm="1">
        <f t="array" ref="W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9" s="3" t="str" cm="1">
        <f t="array" ref="X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9" s="3" t="str" cm="1">
        <f t="array" ref="Y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9" s="3" t="str" cm="1">
        <f t="array" ref="Z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9" s="3" t="str" cm="1">
        <f t="array" ref="AA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D39" s="3"/>
      <c r="AE39" s="3"/>
      <c r="AF39" s="3"/>
      <c r="AG39" s="3"/>
      <c r="AH39" s="3"/>
      <c r="AI39" s="3"/>
      <c r="AJ39" s="3"/>
      <c r="AK39" s="3"/>
      <c r="AL39" s="3"/>
      <c r="AM39" s="3"/>
      <c r="AN39" s="3"/>
      <c r="AO39" s="3"/>
      <c r="AP39" s="3"/>
      <c r="AQ39" s="3"/>
      <c r="AR39" s="3"/>
      <c r="AS39" s="3"/>
      <c r="AT39" s="3"/>
    </row>
    <row r="40" spans="2:46" x14ac:dyDescent="0.25">
      <c r="B40" s="8" cm="1">
        <f t="array" ref="B40">ROW(risk_mainTable[[#This Row],[Row]]) - ROW(risk_mainTable[#Headers])</f>
        <v>4</v>
      </c>
      <c r="C40" s="8" t="str">
        <f t="shared" si="3"/>
        <v/>
      </c>
      <c r="D40" s="9" t="s">
        <v>23</v>
      </c>
      <c r="E40" s="6" t="str">
        <f>INDEX(SV_Categories[svGroupType],MATCH(risk_mainTable[[#This Row],[SV Category]],SV_Categories[svGroupLabel],0))</f>
        <v>sv_lowIncome</v>
      </c>
      <c r="F40" s="6" t="str" cm="1">
        <f t="array" ref="F4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0" s="9" t="s">
        <v>72</v>
      </c>
      <c r="H40" s="6" t="str">
        <f t="shared" si="4"/>
        <v>CONUS</v>
      </c>
      <c r="I40" s="6" t="str">
        <f xml:space="preserve"> IF( risk_mainTable[[#This Row],[Sector]] = "", "",  INDEX(co_sectorInfo[rateUnit],MATCH(risk_mainTable[[#This Row],[Sector]],co_sectorInfo[sector],0)) )</f>
        <v/>
      </c>
      <c r="J40" s="6" t="str">
        <f>'Control Panel'!$C$39</f>
        <v/>
      </c>
      <c r="K40" s="3" t="str" cm="1">
        <f t="array" ref="K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0" s="3" t="str" cm="1">
        <f t="array" ref="L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0" s="3" t="str" cm="1">
        <f t="array" ref="M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0" s="3" t="str" cm="1">
        <f t="array" ref="N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0" s="3" t="str" cm="1">
        <f t="array" ref="O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0" s="3" t="str" cm="1">
        <f t="array" ref="P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0" s="3" t="str" cm="1">
        <f t="array" ref="Q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0" s="3" t="str" cm="1">
        <f t="array" ref="R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0" s="3" t="str" cm="1">
        <f t="array" ref="S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0" s="3" t="str" cm="1">
        <f t="array" ref="T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0" s="3" t="str" cm="1">
        <f t="array" ref="U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0" s="3" t="str" cm="1">
        <f t="array" ref="V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0" s="3" t="str" cm="1">
        <f t="array" ref="W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0" s="3" t="str" cm="1">
        <f t="array" ref="X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0" s="3" t="str" cm="1">
        <f t="array" ref="Y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0" s="3" t="str" cm="1">
        <f t="array" ref="Z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0" s="3" t="str" cm="1">
        <f t="array" ref="AA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F40" s="3"/>
      <c r="AG40" s="3"/>
      <c r="AH40" s="3"/>
      <c r="AI40" s="3"/>
      <c r="AJ40" s="3"/>
      <c r="AK40" s="3"/>
      <c r="AL40" s="3"/>
      <c r="AM40" s="3"/>
      <c r="AN40" s="3"/>
      <c r="AO40" s="3"/>
      <c r="AP40" s="3"/>
      <c r="AQ40" s="3"/>
      <c r="AR40" s="3"/>
      <c r="AS40" s="3"/>
      <c r="AT40" s="3"/>
    </row>
    <row r="41" spans="2:46" x14ac:dyDescent="0.25">
      <c r="B41" s="8" cm="1">
        <f t="array" ref="B41">ROW(risk_mainTable[[#This Row],[Row]]) - ROW(risk_mainTable[#Headers])</f>
        <v>5</v>
      </c>
      <c r="C41" s="8" t="str">
        <f t="shared" si="3"/>
        <v/>
      </c>
      <c r="D41" s="9" t="s">
        <v>33</v>
      </c>
      <c r="E41" s="6" t="str">
        <f>INDEX(SV_Categories[svGroupType],MATCH(risk_mainTable[[#This Row],[SV Category]],SV_Categories[svGroupLabel],0))</f>
        <v>sv_minority</v>
      </c>
      <c r="F41" s="6" t="str" cm="1">
        <f t="array" ref="F4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1" s="9" t="s">
        <v>72</v>
      </c>
      <c r="H41" s="6" t="str">
        <f t="shared" si="4"/>
        <v>CONUS</v>
      </c>
      <c r="I41" s="6" t="str">
        <f xml:space="preserve"> IF( risk_mainTable[[#This Row],[Sector]] = "", "",  INDEX(co_sectorInfo[rateUnit],MATCH(risk_mainTable[[#This Row],[Sector]],co_sectorInfo[sector],0)) )</f>
        <v/>
      </c>
      <c r="J41" s="6" t="str">
        <f>'Control Panel'!$C$36</f>
        <v/>
      </c>
      <c r="K41" s="3" t="str" cm="1">
        <f t="array" ref="K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1" s="3" t="str" cm="1">
        <f t="array" ref="L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1" s="3" t="str" cm="1">
        <f t="array" ref="M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1" s="3" t="str" cm="1">
        <f t="array" ref="N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1" s="3" t="str" cm="1">
        <f t="array" ref="O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1" s="3" t="str" cm="1">
        <f t="array" ref="P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1" s="3" t="str" cm="1">
        <f t="array" ref="Q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1" s="3" t="str" cm="1">
        <f t="array" ref="R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1" s="3" t="str" cm="1">
        <f t="array" ref="S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1" s="3" t="str" cm="1">
        <f t="array" ref="T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1" s="3" t="str" cm="1">
        <f t="array" ref="U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1" s="3" t="str" cm="1">
        <f t="array" ref="V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1" s="3" t="str" cm="1">
        <f t="array" ref="W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1" s="3" t="str" cm="1">
        <f t="array" ref="X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1" s="3" t="str" cm="1">
        <f t="array" ref="Y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1" s="3" t="str" cm="1">
        <f t="array" ref="Z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1" s="3" t="str" cm="1">
        <f t="array" ref="AA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2" spans="2:46" x14ac:dyDescent="0.25">
      <c r="B42" s="8" cm="1">
        <f t="array" ref="B42">ROW(risk_mainTable[[#This Row],[Row]]) - ROW(risk_mainTable[#Headers])</f>
        <v>6</v>
      </c>
      <c r="C42" s="8" t="str">
        <f t="shared" si="3"/>
        <v/>
      </c>
      <c r="D42" s="9" t="s">
        <v>33</v>
      </c>
      <c r="E42" s="6" t="str">
        <f>INDEX(SV_Categories[svGroupType],MATCH(risk_mainTable[[#This Row],[SV Category]],SV_Categories[svGroupLabel],0))</f>
        <v>sv_minority</v>
      </c>
      <c r="F42" s="6" t="str" cm="1">
        <f t="array" ref="F4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2" s="9" t="s">
        <v>72</v>
      </c>
      <c r="H42" s="6" t="str">
        <f t="shared" si="4"/>
        <v>CONUS</v>
      </c>
      <c r="I42" s="6" t="str">
        <f xml:space="preserve"> IF( risk_mainTable[[#This Row],[Sector]] = "", "",  INDEX(co_sectorInfo[rateUnit],MATCH(risk_mainTable[[#This Row],[Sector]],co_sectorInfo[sector],0)) )</f>
        <v/>
      </c>
      <c r="J42" s="6" t="str">
        <f>'Control Panel'!$C$37</f>
        <v/>
      </c>
      <c r="K42" s="3" t="str" cm="1">
        <f t="array" ref="K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2" s="3" t="str" cm="1">
        <f t="array" ref="L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2" s="3" t="str" cm="1">
        <f t="array" ref="M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2" s="3" t="str" cm="1">
        <f t="array" ref="N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2" s="3" t="str" cm="1">
        <f t="array" ref="O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2" s="3" t="str" cm="1">
        <f t="array" ref="P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2" s="3" t="str" cm="1">
        <f t="array" ref="Q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2" s="3" t="str" cm="1">
        <f t="array" ref="R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2" s="3" t="str" cm="1">
        <f t="array" ref="S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2" s="3" t="str" cm="1">
        <f t="array" ref="T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2" s="3" t="str" cm="1">
        <f t="array" ref="U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2" s="3" t="str" cm="1">
        <f t="array" ref="V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2" s="3" t="str" cm="1">
        <f t="array" ref="W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2" s="3" t="str" cm="1">
        <f t="array" ref="X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2" s="3" t="str" cm="1">
        <f t="array" ref="Y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2" s="3" t="str" cm="1">
        <f t="array" ref="Z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2" s="3" t="str" cm="1">
        <f t="array" ref="AA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3" spans="2:46" x14ac:dyDescent="0.25">
      <c r="B43" s="8" cm="1">
        <f t="array" ref="B43">ROW(risk_mainTable[[#This Row],[Row]]) - ROW(risk_mainTable[#Headers])</f>
        <v>7</v>
      </c>
      <c r="C43" s="8" t="str">
        <f t="shared" si="3"/>
        <v/>
      </c>
      <c r="D43" s="9" t="s">
        <v>33</v>
      </c>
      <c r="E43" s="6" t="str">
        <f>INDEX(SV_Categories[svGroupType],MATCH(risk_mainTable[[#This Row],[SV Category]],SV_Categories[svGroupLabel],0))</f>
        <v>sv_minority</v>
      </c>
      <c r="F43" s="6" t="str" cm="1">
        <f t="array" ref="F4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3" s="9" t="s">
        <v>72</v>
      </c>
      <c r="H43" s="6" t="str">
        <f t="shared" si="4"/>
        <v>CONUS</v>
      </c>
      <c r="I43" s="6" t="str">
        <f xml:space="preserve"> IF( risk_mainTable[[#This Row],[Sector]] = "", "",  INDEX(co_sectorInfo[rateUnit],MATCH(risk_mainTable[[#This Row],[Sector]],co_sectorInfo[sector],0)) )</f>
        <v/>
      </c>
      <c r="J43" s="6" t="str">
        <f>'Control Panel'!$C$38</f>
        <v/>
      </c>
      <c r="K43" s="3" t="str" cm="1">
        <f t="array" ref="K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3" s="3" t="str" cm="1">
        <f t="array" ref="L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3" s="3" t="str" cm="1">
        <f t="array" ref="M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3" s="3" t="str" cm="1">
        <f t="array" ref="N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3" s="3" t="str" cm="1">
        <f t="array" ref="O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3" s="3" t="str" cm="1">
        <f t="array" ref="P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3" s="3" t="str" cm="1">
        <f t="array" ref="Q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3" s="3" t="str" cm="1">
        <f t="array" ref="R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3" s="3" t="str" cm="1">
        <f t="array" ref="S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3" s="3" t="str" cm="1">
        <f t="array" ref="T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3" s="3" t="str" cm="1">
        <f t="array" ref="U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3" s="3" t="str" cm="1">
        <f t="array" ref="V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3" s="3" t="str" cm="1">
        <f t="array" ref="W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3" s="3" t="str" cm="1">
        <f t="array" ref="X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3" s="3" t="str" cm="1">
        <f t="array" ref="Y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3" s="3" t="str" cm="1">
        <f t="array" ref="Z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3" s="3" t="str" cm="1">
        <f t="array" ref="AA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4" spans="2:46" x14ac:dyDescent="0.25">
      <c r="B44" s="8" cm="1">
        <f t="array" ref="B44">ROW(risk_mainTable[[#This Row],[Row]]) - ROW(risk_mainTable[#Headers])</f>
        <v>8</v>
      </c>
      <c r="C44" s="8" t="str">
        <f t="shared" si="3"/>
        <v/>
      </c>
      <c r="D44" s="9" t="s">
        <v>33</v>
      </c>
      <c r="E44" s="6" t="str">
        <f>INDEX(SV_Categories[svGroupType],MATCH(risk_mainTable[[#This Row],[SV Category]],SV_Categories[svGroupLabel],0))</f>
        <v>sv_minority</v>
      </c>
      <c r="F44" s="6" t="str" cm="1">
        <f t="array" ref="F4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4" s="9" t="s">
        <v>72</v>
      </c>
      <c r="H44" s="6" t="str">
        <f t="shared" si="4"/>
        <v>CONUS</v>
      </c>
      <c r="I44" s="6" t="str">
        <f xml:space="preserve"> IF( risk_mainTable[[#This Row],[Sector]] = "", "",  INDEX(co_sectorInfo[rateUnit],MATCH(risk_mainTable[[#This Row],[Sector]],co_sectorInfo[sector],0)) )</f>
        <v/>
      </c>
      <c r="J44" s="6" t="str">
        <f>'Control Panel'!$C$39</f>
        <v/>
      </c>
      <c r="K44" s="3" t="str" cm="1">
        <f t="array" ref="K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4" s="3" t="str" cm="1">
        <f t="array" ref="L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4" s="3" t="str" cm="1">
        <f t="array" ref="M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4" s="3" t="str" cm="1">
        <f t="array" ref="N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4" s="3" t="str" cm="1">
        <f t="array" ref="O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4" s="3" t="str" cm="1">
        <f t="array" ref="P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4" s="3" t="str" cm="1">
        <f t="array" ref="Q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4" s="3" t="str" cm="1">
        <f t="array" ref="R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4" s="3" t="str" cm="1">
        <f t="array" ref="S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4" s="3" t="str" cm="1">
        <f t="array" ref="T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4" s="3" t="str" cm="1">
        <f t="array" ref="U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4" s="3" t="str" cm="1">
        <f t="array" ref="V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4" s="3" t="str" cm="1">
        <f t="array" ref="W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4" s="3" t="str" cm="1">
        <f t="array" ref="X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4" s="3" t="str" cm="1">
        <f t="array" ref="Y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4" s="3" t="str" cm="1">
        <f t="array" ref="Z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4" s="3" t="str" cm="1">
        <f t="array" ref="AA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5" spans="2:46" x14ac:dyDescent="0.25">
      <c r="B45" s="8" cm="1">
        <f t="array" ref="B45">ROW(risk_mainTable[[#This Row],[Row]]) - ROW(risk_mainTable[#Headers])</f>
        <v>9</v>
      </c>
      <c r="C45" s="8" t="str">
        <f t="shared" si="3"/>
        <v/>
      </c>
      <c r="D45" s="9" t="s">
        <v>27</v>
      </c>
      <c r="E45" s="6" t="str">
        <f>INDEX(SV_Categories[svGroupType],MATCH(risk_mainTable[[#This Row],[SV Category]],SV_Categories[svGroupLabel],0))</f>
        <v>sv_noHS</v>
      </c>
      <c r="F45" s="6" t="str" cm="1">
        <f t="array" ref="F4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5" s="9" t="s">
        <v>72</v>
      </c>
      <c r="H45" s="6" t="str">
        <f t="shared" si="4"/>
        <v>CONUS</v>
      </c>
      <c r="I45" s="6" t="str">
        <f xml:space="preserve"> IF( risk_mainTable[[#This Row],[Sector]] = "", "",  INDEX(co_sectorInfo[rateUnit],MATCH(risk_mainTable[[#This Row],[Sector]],co_sectorInfo[sector],0)) )</f>
        <v/>
      </c>
      <c r="J45" s="6" t="str">
        <f>'Control Panel'!$C$36</f>
        <v/>
      </c>
      <c r="K45" s="3" t="str" cm="1">
        <f t="array" ref="K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5" s="3" t="str" cm="1">
        <f t="array" ref="L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5" s="3" t="str" cm="1">
        <f t="array" ref="M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5" s="3" t="str" cm="1">
        <f t="array" ref="N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5" s="3" t="str" cm="1">
        <f t="array" ref="O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5" s="3" t="str" cm="1">
        <f t="array" ref="P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5" s="3" t="str" cm="1">
        <f t="array" ref="Q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5" s="3" t="str" cm="1">
        <f t="array" ref="R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5" s="3" t="str" cm="1">
        <f t="array" ref="S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5" s="3" t="str" cm="1">
        <f t="array" ref="T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5" s="3" t="str" cm="1">
        <f t="array" ref="U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5" s="3" t="str" cm="1">
        <f t="array" ref="V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5" s="3" t="str" cm="1">
        <f t="array" ref="W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5" s="3" t="str" cm="1">
        <f t="array" ref="X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5" s="3" t="str" cm="1">
        <f t="array" ref="Y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5" s="3" t="str" cm="1">
        <f t="array" ref="Z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5" s="3" t="str" cm="1">
        <f t="array" ref="AA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6" spans="2:46" x14ac:dyDescent="0.25">
      <c r="B46" s="8" cm="1">
        <f t="array" ref="B46">ROW(risk_mainTable[[#This Row],[Row]]) - ROW(risk_mainTable[#Headers])</f>
        <v>10</v>
      </c>
      <c r="C46" s="8" t="str">
        <f t="shared" si="3"/>
        <v/>
      </c>
      <c r="D46" s="9" t="s">
        <v>27</v>
      </c>
      <c r="E46" s="6" t="str">
        <f>INDEX(SV_Categories[svGroupType],MATCH(risk_mainTable[[#This Row],[SV Category]],SV_Categories[svGroupLabel],0))</f>
        <v>sv_noHS</v>
      </c>
      <c r="F46" s="6" t="str" cm="1">
        <f t="array" ref="F4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6" s="9" t="s">
        <v>72</v>
      </c>
      <c r="H46" s="6" t="str">
        <f t="shared" si="4"/>
        <v>CONUS</v>
      </c>
      <c r="I46" s="6" t="str">
        <f xml:space="preserve"> IF( risk_mainTable[[#This Row],[Sector]] = "", "",  INDEX(co_sectorInfo[rateUnit],MATCH(risk_mainTable[[#This Row],[Sector]],co_sectorInfo[sector],0)) )</f>
        <v/>
      </c>
      <c r="J46" s="6" t="str">
        <f>'Control Panel'!$C$37</f>
        <v/>
      </c>
      <c r="K46" s="3" t="str" cm="1">
        <f t="array" ref="K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6" s="3" t="str" cm="1">
        <f t="array" ref="L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6" s="3" t="str" cm="1">
        <f t="array" ref="M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6" s="3" t="str" cm="1">
        <f t="array" ref="N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6" s="3" t="str" cm="1">
        <f t="array" ref="O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6" s="3" t="str" cm="1">
        <f t="array" ref="P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6" s="3" t="str" cm="1">
        <f t="array" ref="Q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6" s="3" t="str" cm="1">
        <f t="array" ref="R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6" s="3" t="str" cm="1">
        <f t="array" ref="S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6" s="3" t="str" cm="1">
        <f t="array" ref="T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6" s="3" t="str" cm="1">
        <f t="array" ref="U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6" s="3" t="str" cm="1">
        <f t="array" ref="V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6" s="3" t="str" cm="1">
        <f t="array" ref="W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6" s="3" t="str" cm="1">
        <f t="array" ref="X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6" s="3" t="str" cm="1">
        <f t="array" ref="Y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6" s="3" t="str" cm="1">
        <f t="array" ref="Z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6" s="3" t="str" cm="1">
        <f t="array" ref="AA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7" spans="2:46" x14ac:dyDescent="0.25">
      <c r="B47" s="8" cm="1">
        <f t="array" ref="B47">ROW(risk_mainTable[[#This Row],[Row]]) - ROW(risk_mainTable[#Headers])</f>
        <v>11</v>
      </c>
      <c r="C47" s="8" t="str">
        <f t="shared" si="3"/>
        <v/>
      </c>
      <c r="D47" s="9" t="s">
        <v>27</v>
      </c>
      <c r="E47" s="6" t="str">
        <f>INDEX(SV_Categories[svGroupType],MATCH(risk_mainTable[[#This Row],[SV Category]],SV_Categories[svGroupLabel],0))</f>
        <v>sv_noHS</v>
      </c>
      <c r="F47" s="6" t="str" cm="1">
        <f t="array" ref="F4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7" s="9" t="s">
        <v>72</v>
      </c>
      <c r="H47" s="6" t="str">
        <f t="shared" si="4"/>
        <v>CONUS</v>
      </c>
      <c r="I47" s="6" t="str">
        <f xml:space="preserve"> IF( risk_mainTable[[#This Row],[Sector]] = "", "",  INDEX(co_sectorInfo[rateUnit],MATCH(risk_mainTable[[#This Row],[Sector]],co_sectorInfo[sector],0)) )</f>
        <v/>
      </c>
      <c r="J47" s="6" t="str">
        <f>'Control Panel'!$C$38</f>
        <v/>
      </c>
      <c r="K47" s="3" t="str" cm="1">
        <f t="array" ref="K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7" s="3" t="str" cm="1">
        <f t="array" ref="L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7" s="3" t="str" cm="1">
        <f t="array" ref="M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7" s="3" t="str" cm="1">
        <f t="array" ref="N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7" s="3" t="str" cm="1">
        <f t="array" ref="O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7" s="3" t="str" cm="1">
        <f t="array" ref="P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7" s="3" t="str" cm="1">
        <f t="array" ref="Q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7" s="3" t="str" cm="1">
        <f t="array" ref="R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7" s="3" t="str" cm="1">
        <f t="array" ref="S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7" s="3" t="str" cm="1">
        <f t="array" ref="T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7" s="3" t="str" cm="1">
        <f t="array" ref="U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7" s="3" t="str" cm="1">
        <f t="array" ref="V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7" s="3" t="str" cm="1">
        <f t="array" ref="W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7" s="3" t="str" cm="1">
        <f t="array" ref="X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7" s="3" t="str" cm="1">
        <f t="array" ref="Y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7" s="3" t="str" cm="1">
        <f t="array" ref="Z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7" s="3" t="str" cm="1">
        <f t="array" ref="AA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8" spans="2:46" x14ac:dyDescent="0.25">
      <c r="B48" s="8" cm="1">
        <f t="array" ref="B48">ROW(risk_mainTable[[#This Row],[Row]]) - ROW(risk_mainTable[#Headers])</f>
        <v>12</v>
      </c>
      <c r="C48" s="8" t="str">
        <f t="shared" si="3"/>
        <v/>
      </c>
      <c r="D48" s="9" t="s">
        <v>27</v>
      </c>
      <c r="E48" s="6" t="str">
        <f>INDEX(SV_Categories[svGroupType],MATCH(risk_mainTable[[#This Row],[SV Category]],SV_Categories[svGroupLabel],0))</f>
        <v>sv_noHS</v>
      </c>
      <c r="F48" s="6" t="str" cm="1">
        <f t="array" ref="F4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8" s="9" t="s">
        <v>72</v>
      </c>
      <c r="H48" s="6" t="str">
        <f t="shared" si="4"/>
        <v>CONUS</v>
      </c>
      <c r="I48" s="6" t="str">
        <f xml:space="preserve"> IF( risk_mainTable[[#This Row],[Sector]] = "", "",  INDEX(co_sectorInfo[rateUnit],MATCH(risk_mainTable[[#This Row],[Sector]],co_sectorInfo[sector],0)) )</f>
        <v/>
      </c>
      <c r="J48" s="6" t="str">
        <f>'Control Panel'!$C$39</f>
        <v/>
      </c>
      <c r="K48" s="3" t="str" cm="1">
        <f t="array" ref="K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8" s="3" t="str" cm="1">
        <f t="array" ref="L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8" s="3" t="str" cm="1">
        <f t="array" ref="M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8" s="3" t="str" cm="1">
        <f t="array" ref="N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8" s="3" t="str" cm="1">
        <f t="array" ref="O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8" s="3" t="str" cm="1">
        <f t="array" ref="P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8" s="3" t="str" cm="1">
        <f t="array" ref="Q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8" s="3" t="str" cm="1">
        <f t="array" ref="R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8" s="3" t="str" cm="1">
        <f t="array" ref="S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8" s="3" t="str" cm="1">
        <f t="array" ref="T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8" s="3" t="str" cm="1">
        <f t="array" ref="U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8" s="3" t="str" cm="1">
        <f t="array" ref="V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8" s="3" t="str" cm="1">
        <f t="array" ref="W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8" s="3" t="str" cm="1">
        <f t="array" ref="X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8" s="3" t="str" cm="1">
        <f t="array" ref="Y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8" s="3" t="str" cm="1">
        <f t="array" ref="Z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8" s="3" t="str" cm="1">
        <f t="array" ref="AA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9" spans="2:27" x14ac:dyDescent="0.25">
      <c r="B49" s="8" cm="1">
        <f t="array" ref="B49">ROW(risk_mainTable[[#This Row],[Row]]) - ROW(risk_mainTable[#Headers])</f>
        <v>13</v>
      </c>
      <c r="C49" s="8" t="str">
        <f t="shared" si="3"/>
        <v/>
      </c>
      <c r="D49" s="9" t="s">
        <v>29</v>
      </c>
      <c r="E49" s="6" t="str">
        <f>INDEX(SV_Categories[svGroupType],MATCH(risk_mainTable[[#This Row],[SV Category]],SV_Categories[svGroupLabel],0))</f>
        <v>sv_plus65</v>
      </c>
      <c r="F49" s="6" t="str" cm="1">
        <f t="array" ref="F4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9" s="9" t="s">
        <v>72</v>
      </c>
      <c r="H49" s="6" t="str">
        <f t="shared" si="4"/>
        <v>CONUS</v>
      </c>
      <c r="I49" s="6" t="str">
        <f xml:space="preserve"> IF( risk_mainTable[[#This Row],[Sector]] = "", "",  INDEX(co_sectorInfo[rateUnit],MATCH(risk_mainTable[[#This Row],[Sector]],co_sectorInfo[sector],0)) )</f>
        <v/>
      </c>
      <c r="J49" s="6" t="str">
        <f>'Control Panel'!$C$36</f>
        <v/>
      </c>
      <c r="K49" s="3" t="str" cm="1">
        <f t="array" ref="K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9" s="3" t="str" cm="1">
        <f t="array" ref="L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9" s="3" t="str" cm="1">
        <f t="array" ref="M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9" s="3" t="str" cm="1">
        <f t="array" ref="N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9" s="3" t="str" cm="1">
        <f t="array" ref="O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9" s="3" t="str" cm="1">
        <f t="array" ref="P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9" s="3" t="str" cm="1">
        <f t="array" ref="Q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9" s="3" t="str" cm="1">
        <f t="array" ref="R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9" s="3" t="str" cm="1">
        <f t="array" ref="S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9" s="3" t="str" cm="1">
        <f t="array" ref="T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9" s="3" t="str" cm="1">
        <f t="array" ref="U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9" s="3" t="str" cm="1">
        <f t="array" ref="V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9" s="3" t="str" cm="1">
        <f t="array" ref="W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9" s="3" t="str" cm="1">
        <f t="array" ref="X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9" s="3" t="str" cm="1">
        <f t="array" ref="Y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9" s="3" t="str" cm="1">
        <f t="array" ref="Z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9" s="3" t="str" cm="1">
        <f t="array" ref="AA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0" spans="2:27" x14ac:dyDescent="0.25">
      <c r="B50" s="8" cm="1">
        <f t="array" ref="B50">ROW(risk_mainTable[[#This Row],[Row]]) - ROW(risk_mainTable[#Headers])</f>
        <v>14</v>
      </c>
      <c r="C50" s="8" t="str">
        <f t="shared" si="3"/>
        <v/>
      </c>
      <c r="D50" s="9" t="s">
        <v>29</v>
      </c>
      <c r="E50" s="6" t="str">
        <f>INDEX(SV_Categories[svGroupType],MATCH(risk_mainTable[[#This Row],[SV Category]],SV_Categories[svGroupLabel],0))</f>
        <v>sv_plus65</v>
      </c>
      <c r="F50" s="6" t="str" cm="1">
        <f t="array" ref="F5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0" s="9" t="s">
        <v>72</v>
      </c>
      <c r="H50" s="6" t="str">
        <f t="shared" si="4"/>
        <v>CONUS</v>
      </c>
      <c r="I50" s="6" t="str">
        <f xml:space="preserve"> IF( risk_mainTable[[#This Row],[Sector]] = "", "",  INDEX(co_sectorInfo[rateUnit],MATCH(risk_mainTable[[#This Row],[Sector]],co_sectorInfo[sector],0)) )</f>
        <v/>
      </c>
      <c r="J50" s="6" t="str">
        <f>'Control Panel'!$C$37</f>
        <v/>
      </c>
      <c r="K50" s="3" t="str" cm="1">
        <f t="array" ref="K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0" s="3" t="str" cm="1">
        <f t="array" ref="L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0" s="3" t="str" cm="1">
        <f t="array" ref="M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0" s="3" t="str" cm="1">
        <f t="array" ref="N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0" s="3" t="str" cm="1">
        <f t="array" ref="O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0" s="3" t="str" cm="1">
        <f t="array" ref="P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0" s="3" t="str" cm="1">
        <f t="array" ref="Q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0" s="3" t="str" cm="1">
        <f t="array" ref="R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0" s="3" t="str" cm="1">
        <f t="array" ref="S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0" s="3" t="str" cm="1">
        <f t="array" ref="T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0" s="3" t="str" cm="1">
        <f t="array" ref="U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0" s="3" t="str" cm="1">
        <f t="array" ref="V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0" s="3" t="str" cm="1">
        <f t="array" ref="W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0" s="3" t="str" cm="1">
        <f t="array" ref="X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0" s="3" t="str" cm="1">
        <f t="array" ref="Y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0" s="3" t="str" cm="1">
        <f t="array" ref="Z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0" s="3" t="str" cm="1">
        <f t="array" ref="AA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1" spans="2:27" x14ac:dyDescent="0.25">
      <c r="B51" s="8" cm="1">
        <f t="array" ref="B51">ROW(risk_mainTable[[#This Row],[Row]]) - ROW(risk_mainTable[#Headers])</f>
        <v>15</v>
      </c>
      <c r="C51" s="8" t="str">
        <f t="shared" si="3"/>
        <v/>
      </c>
      <c r="D51" s="9" t="s">
        <v>29</v>
      </c>
      <c r="E51" s="6" t="str">
        <f>INDEX(SV_Categories[svGroupType],MATCH(risk_mainTable[[#This Row],[SV Category]],SV_Categories[svGroupLabel],0))</f>
        <v>sv_plus65</v>
      </c>
      <c r="F51" s="6" t="str" cm="1">
        <f t="array" ref="F5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1" s="9" t="s">
        <v>72</v>
      </c>
      <c r="H51" s="6" t="str">
        <f t="shared" si="4"/>
        <v>CONUS</v>
      </c>
      <c r="I51" s="6" t="str">
        <f xml:space="preserve"> IF( risk_mainTable[[#This Row],[Sector]] = "", "",  INDEX(co_sectorInfo[rateUnit],MATCH(risk_mainTable[[#This Row],[Sector]],co_sectorInfo[sector],0)) )</f>
        <v/>
      </c>
      <c r="J51" s="6" t="str">
        <f>'Control Panel'!$C$38</f>
        <v/>
      </c>
      <c r="K51" s="3" t="str" cm="1">
        <f t="array" ref="K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1" s="3" t="str" cm="1">
        <f t="array" ref="L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1" s="3" t="str" cm="1">
        <f t="array" ref="M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1" s="3" t="str" cm="1">
        <f t="array" ref="N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1" s="3" t="str" cm="1">
        <f t="array" ref="O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1" s="3" t="str" cm="1">
        <f t="array" ref="P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1" s="3" t="str" cm="1">
        <f t="array" ref="Q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1" s="3" t="str" cm="1">
        <f t="array" ref="R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1" s="3" t="str" cm="1">
        <f t="array" ref="S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1" s="3" t="str" cm="1">
        <f t="array" ref="T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1" s="3" t="str" cm="1">
        <f t="array" ref="U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1" s="3" t="str" cm="1">
        <f t="array" ref="V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1" s="3" t="str" cm="1">
        <f t="array" ref="W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1" s="3" t="str" cm="1">
        <f t="array" ref="X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1" s="3" t="str" cm="1">
        <f t="array" ref="Y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1" s="3" t="str" cm="1">
        <f t="array" ref="Z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1" s="3" t="str" cm="1">
        <f t="array" ref="AA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2" spans="2:27" ht="15.75" thickBot="1" x14ac:dyDescent="0.3">
      <c r="B52" s="25" cm="1">
        <f t="array" ref="B52">ROW(risk_mainTable[[#This Row],[Row]]) - ROW(risk_mainTable[#Headers])</f>
        <v>16</v>
      </c>
      <c r="C52" s="25" t="str">
        <f t="shared" si="3"/>
        <v/>
      </c>
      <c r="D52" s="27" t="s">
        <v>29</v>
      </c>
      <c r="E52" s="26" t="str">
        <f>INDEX(SV_Categories[svGroupType],MATCH(risk_mainTable[[#This Row],[SV Category]],SV_Categories[svGroupLabel],0))</f>
        <v>sv_plus65</v>
      </c>
      <c r="F52" s="26" t="str" cm="1">
        <f t="array" ref="F5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2" s="27" t="s">
        <v>72</v>
      </c>
      <c r="H52" s="26" t="str">
        <f t="shared" si="4"/>
        <v>CONUS</v>
      </c>
      <c r="I52" s="26" t="str">
        <f xml:space="preserve"> IF( risk_mainTable[[#This Row],[Sector]] = "", "",  INDEX(co_sectorInfo[rateUnit],MATCH(risk_mainTable[[#This Row],[Sector]],co_sectorInfo[sector],0)) )</f>
        <v/>
      </c>
      <c r="J52" s="26" t="str">
        <f>'Control Panel'!$C$39</f>
        <v/>
      </c>
      <c r="K52" s="36" t="str" cm="1">
        <f t="array" ref="K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2" s="36" t="str" cm="1">
        <f t="array" ref="L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2" s="36" t="str" cm="1">
        <f t="array" ref="M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2" s="36" t="str" cm="1">
        <f t="array" ref="N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2" s="36" t="str" cm="1">
        <f t="array" ref="O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2" s="36" t="str" cm="1">
        <f t="array" ref="P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2" s="36" t="str" cm="1">
        <f t="array" ref="Q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2" s="36" t="str" cm="1">
        <f t="array" ref="R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2" s="36" t="str" cm="1">
        <f t="array" ref="S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2" s="36" t="str" cm="1">
        <f t="array" ref="T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2" s="36" t="str" cm="1">
        <f t="array" ref="U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2" s="36" t="str" cm="1">
        <f t="array" ref="V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2" s="36" t="str" cm="1">
        <f t="array" ref="W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2" s="36" t="str" cm="1">
        <f t="array" ref="X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2" s="36" t="str" cm="1">
        <f t="array" ref="Y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2" s="36" t="str" cm="1">
        <f t="array" ref="Z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2" s="36" t="str" cm="1">
        <f t="array" ref="AA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3" spans="2:27" x14ac:dyDescent="0.25">
      <c r="B53" s="8" cm="1">
        <f t="array" ref="B53">ROW(risk_mainTable[[#This Row],[Row]]) - ROW(risk_mainTable[#Headers])</f>
        <v>17</v>
      </c>
      <c r="C53" s="8" t="str">
        <f t="shared" ref="C53:C68" si="5" xml:space="preserve"> mv_sector</f>
        <v/>
      </c>
      <c r="D53" s="9" t="s">
        <v>23</v>
      </c>
      <c r="E53" s="6" t="str">
        <f>INDEX(SV_Categories[svGroupType],MATCH(risk_mainTable[[#This Row],[SV Category]],SV_Categories[svGroupLabel],0))</f>
        <v>sv_lowIncome</v>
      </c>
      <c r="F53" s="6" t="str" cm="1">
        <f t="array" ref="F5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3" s="9" t="s">
        <v>73</v>
      </c>
      <c r="H53" s="6" t="str">
        <f t="shared" si="4"/>
        <v>CONUS</v>
      </c>
      <c r="I53" s="6" t="str">
        <f xml:space="preserve"> IF( risk_mainTable[[#This Row],[Sector]] = "", "",  INDEX(co_sectorInfo[rateUnit],MATCH(risk_mainTable[[#This Row],[Sector]],co_sectorInfo[sector],0)) )</f>
        <v/>
      </c>
      <c r="J53" s="6" t="str">
        <f>'Control Panel'!$C$36</f>
        <v/>
      </c>
      <c r="K53" s="3" t="str" cm="1">
        <f t="array" ref="K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3" s="3" t="str" cm="1">
        <f t="array" ref="L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3" s="3" t="str" cm="1">
        <f t="array" ref="M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3" s="3" t="str" cm="1">
        <f t="array" ref="N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3" s="3" t="str" cm="1">
        <f t="array" ref="O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3" s="3" t="str" cm="1">
        <f t="array" ref="P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3" s="3" t="str" cm="1">
        <f t="array" ref="Q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3" s="3" t="str" cm="1">
        <f t="array" ref="R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3" s="3" t="str" cm="1">
        <f t="array" ref="S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3" s="3" t="str" cm="1">
        <f t="array" ref="T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3" s="3" t="str" cm="1">
        <f t="array" ref="U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3" s="3" t="str" cm="1">
        <f t="array" ref="V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3" s="3" t="str" cm="1">
        <f t="array" ref="W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3" s="3" t="str" cm="1">
        <f t="array" ref="X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3" s="3" t="str" cm="1">
        <f t="array" ref="Y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3" s="3" t="str" cm="1">
        <f t="array" ref="Z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3" s="3" t="str" cm="1">
        <f t="array" ref="AA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4" spans="2:27" x14ac:dyDescent="0.25">
      <c r="B54" s="8" cm="1">
        <f t="array" ref="B54">ROW(risk_mainTable[[#This Row],[Row]]) - ROW(risk_mainTable[#Headers])</f>
        <v>18</v>
      </c>
      <c r="C54" s="8" t="str">
        <f t="shared" si="5"/>
        <v/>
      </c>
      <c r="D54" s="9" t="s">
        <v>23</v>
      </c>
      <c r="E54" s="6" t="str">
        <f>INDEX(SV_Categories[svGroupType],MATCH(risk_mainTable[[#This Row],[SV Category]],SV_Categories[svGroupLabel],0))</f>
        <v>sv_lowIncome</v>
      </c>
      <c r="F54" s="6" t="str" cm="1">
        <f t="array" ref="F5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4" s="9" t="s">
        <v>73</v>
      </c>
      <c r="H54" s="6" t="str">
        <f t="shared" si="4"/>
        <v>CONUS</v>
      </c>
      <c r="I54" s="6" t="str">
        <f xml:space="preserve"> IF( risk_mainTable[[#This Row],[Sector]] = "", "",  INDEX(co_sectorInfo[rateUnit],MATCH(risk_mainTable[[#This Row],[Sector]],co_sectorInfo[sector],0)) )</f>
        <v/>
      </c>
      <c r="J54" s="6" t="str">
        <f>'Control Panel'!$C$37</f>
        <v/>
      </c>
      <c r="K54" s="3" t="str" cm="1">
        <f t="array" ref="K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4" s="3" t="str" cm="1">
        <f t="array" ref="L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4" s="3" t="str" cm="1">
        <f t="array" ref="M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4" s="3" t="str" cm="1">
        <f t="array" ref="N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4" s="3" t="str" cm="1">
        <f t="array" ref="O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4" s="3" t="str" cm="1">
        <f t="array" ref="P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4" s="3" t="str" cm="1">
        <f t="array" ref="Q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4" s="3" t="str" cm="1">
        <f t="array" ref="R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4" s="3" t="str" cm="1">
        <f t="array" ref="S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4" s="3" t="str" cm="1">
        <f t="array" ref="T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4" s="3" t="str" cm="1">
        <f t="array" ref="U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4" s="3" t="str" cm="1">
        <f t="array" ref="V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4" s="3" t="str" cm="1">
        <f t="array" ref="W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4" s="3" t="str" cm="1">
        <f t="array" ref="X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4" s="3" t="str" cm="1">
        <f t="array" ref="Y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4" s="3" t="str" cm="1">
        <f t="array" ref="Z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4" s="3" t="str" cm="1">
        <f t="array" ref="AA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5" spans="2:27" x14ac:dyDescent="0.25">
      <c r="B55" s="8" cm="1">
        <f t="array" ref="B55">ROW(risk_mainTable[[#This Row],[Row]]) - ROW(risk_mainTable[#Headers])</f>
        <v>19</v>
      </c>
      <c r="C55" s="8" t="str">
        <f t="shared" si="5"/>
        <v/>
      </c>
      <c r="D55" s="9" t="s">
        <v>23</v>
      </c>
      <c r="E55" s="6" t="str">
        <f>INDEX(SV_Categories[svGroupType],MATCH(risk_mainTable[[#This Row],[SV Category]],SV_Categories[svGroupLabel],0))</f>
        <v>sv_lowIncome</v>
      </c>
      <c r="F55" s="6" t="str" cm="1">
        <f t="array" ref="F5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5" s="9" t="s">
        <v>73</v>
      </c>
      <c r="H55" s="6" t="str">
        <f t="shared" si="4"/>
        <v>CONUS</v>
      </c>
      <c r="I55" s="6" t="str">
        <f xml:space="preserve"> IF( risk_mainTable[[#This Row],[Sector]] = "", "",  INDEX(co_sectorInfo[rateUnit],MATCH(risk_mainTable[[#This Row],[Sector]],co_sectorInfo[sector],0)) )</f>
        <v/>
      </c>
      <c r="J55" s="6" t="str">
        <f>'Control Panel'!$C$38</f>
        <v/>
      </c>
      <c r="K55" s="3" t="str" cm="1">
        <f t="array" ref="K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5" s="3" t="str" cm="1">
        <f t="array" ref="L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5" s="3" t="str" cm="1">
        <f t="array" ref="M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5" s="3" t="str" cm="1">
        <f t="array" ref="N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5" s="3" t="str" cm="1">
        <f t="array" ref="O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5" s="3" t="str" cm="1">
        <f t="array" ref="P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5" s="3" t="str" cm="1">
        <f t="array" ref="Q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5" s="3" t="str" cm="1">
        <f t="array" ref="R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5" s="3" t="str" cm="1">
        <f t="array" ref="S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5" s="3" t="str" cm="1">
        <f t="array" ref="T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5" s="3" t="str" cm="1">
        <f t="array" ref="U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5" s="3" t="str" cm="1">
        <f t="array" ref="V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5" s="3" t="str" cm="1">
        <f t="array" ref="W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5" s="3" t="str" cm="1">
        <f t="array" ref="X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5" s="3" t="str" cm="1">
        <f t="array" ref="Y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5" s="3" t="str" cm="1">
        <f t="array" ref="Z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5" s="3" t="str" cm="1">
        <f t="array" ref="AA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6" spans="2:27" x14ac:dyDescent="0.25">
      <c r="B56" s="8" cm="1">
        <f t="array" ref="B56">ROW(risk_mainTable[[#This Row],[Row]]) - ROW(risk_mainTable[#Headers])</f>
        <v>20</v>
      </c>
      <c r="C56" s="8" t="str">
        <f t="shared" si="5"/>
        <v/>
      </c>
      <c r="D56" s="9" t="s">
        <v>23</v>
      </c>
      <c r="E56" s="6" t="str">
        <f>INDEX(SV_Categories[svGroupType],MATCH(risk_mainTable[[#This Row],[SV Category]],SV_Categories[svGroupLabel],0))</f>
        <v>sv_lowIncome</v>
      </c>
      <c r="F56" s="6" t="str" cm="1">
        <f t="array" ref="F5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6" s="9" t="s">
        <v>73</v>
      </c>
      <c r="H56" s="6" t="str">
        <f t="shared" si="4"/>
        <v>CONUS</v>
      </c>
      <c r="I56" s="6" t="str">
        <f xml:space="preserve"> IF( risk_mainTable[[#This Row],[Sector]] = "", "",  INDEX(co_sectorInfo[rateUnit],MATCH(risk_mainTable[[#This Row],[Sector]],co_sectorInfo[sector],0)) )</f>
        <v/>
      </c>
      <c r="J56" s="6" t="str">
        <f>'Control Panel'!$C$39</f>
        <v/>
      </c>
      <c r="K56" s="3" t="str" cm="1">
        <f t="array" ref="K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6" s="3" t="str" cm="1">
        <f t="array" ref="L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6" s="3" t="str" cm="1">
        <f t="array" ref="M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6" s="3" t="str" cm="1">
        <f t="array" ref="N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6" s="3" t="str" cm="1">
        <f t="array" ref="O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6" s="3" t="str" cm="1">
        <f t="array" ref="P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6" s="3" t="str" cm="1">
        <f t="array" ref="Q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6" s="3" t="str" cm="1">
        <f t="array" ref="R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6" s="3" t="str" cm="1">
        <f t="array" ref="S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6" s="3" t="str" cm="1">
        <f t="array" ref="T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6" s="3" t="str" cm="1">
        <f t="array" ref="U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6" s="3" t="str" cm="1">
        <f t="array" ref="V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6" s="3" t="str" cm="1">
        <f t="array" ref="W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6" s="3" t="str" cm="1">
        <f t="array" ref="X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6" s="3" t="str" cm="1">
        <f t="array" ref="Y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6" s="3" t="str" cm="1">
        <f t="array" ref="Z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6" s="3" t="str" cm="1">
        <f t="array" ref="AA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7" spans="2:27" x14ac:dyDescent="0.25">
      <c r="B57" s="8" cm="1">
        <f t="array" ref="B57">ROW(risk_mainTable[[#This Row],[Row]]) - ROW(risk_mainTable[#Headers])</f>
        <v>21</v>
      </c>
      <c r="C57" s="8" t="str">
        <f t="shared" si="5"/>
        <v/>
      </c>
      <c r="D57" s="9" t="s">
        <v>33</v>
      </c>
      <c r="E57" s="6" t="str">
        <f>INDEX(SV_Categories[svGroupType],MATCH(risk_mainTable[[#This Row],[SV Category]],SV_Categories[svGroupLabel],0))</f>
        <v>sv_minority</v>
      </c>
      <c r="F57" s="6" t="str" cm="1">
        <f t="array" ref="F5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7" s="9" t="s">
        <v>73</v>
      </c>
      <c r="H57" s="6" t="str">
        <f t="shared" si="4"/>
        <v>CONUS</v>
      </c>
      <c r="I57" s="6" t="str">
        <f xml:space="preserve"> IF( risk_mainTable[[#This Row],[Sector]] = "", "",  INDEX(co_sectorInfo[rateUnit],MATCH(risk_mainTable[[#This Row],[Sector]],co_sectorInfo[sector],0)) )</f>
        <v/>
      </c>
      <c r="J57" s="6" t="str">
        <f>'Control Panel'!$C$36</f>
        <v/>
      </c>
      <c r="K57" s="3" t="str" cm="1">
        <f t="array" ref="K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7" s="3" t="str" cm="1">
        <f t="array" ref="L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7" s="3" t="str" cm="1">
        <f t="array" ref="M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7" s="3" t="str" cm="1">
        <f t="array" ref="N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7" s="3" t="str" cm="1">
        <f t="array" ref="O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7" s="3" t="str" cm="1">
        <f t="array" ref="P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7" s="3" t="str" cm="1">
        <f t="array" ref="Q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7" s="3" t="str" cm="1">
        <f t="array" ref="R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7" s="3" t="str" cm="1">
        <f t="array" ref="S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7" s="3" t="str" cm="1">
        <f t="array" ref="T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7" s="3" t="str" cm="1">
        <f t="array" ref="U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7" s="3" t="str" cm="1">
        <f t="array" ref="V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7" s="3" t="str" cm="1">
        <f t="array" ref="W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7" s="3" t="str" cm="1">
        <f t="array" ref="X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7" s="3" t="str" cm="1">
        <f t="array" ref="Y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7" s="3" t="str" cm="1">
        <f t="array" ref="Z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7" s="3" t="str" cm="1">
        <f t="array" ref="AA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8" spans="2:27" x14ac:dyDescent="0.25">
      <c r="B58" s="8" cm="1">
        <f t="array" ref="B58">ROW(risk_mainTable[[#This Row],[Row]]) - ROW(risk_mainTable[#Headers])</f>
        <v>22</v>
      </c>
      <c r="C58" s="8" t="str">
        <f t="shared" si="5"/>
        <v/>
      </c>
      <c r="D58" s="9" t="s">
        <v>33</v>
      </c>
      <c r="E58" s="6" t="str">
        <f>INDEX(SV_Categories[svGroupType],MATCH(risk_mainTable[[#This Row],[SV Category]],SV_Categories[svGroupLabel],0))</f>
        <v>sv_minority</v>
      </c>
      <c r="F58" s="6" t="str" cm="1">
        <f t="array" ref="F5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8" s="9" t="s">
        <v>73</v>
      </c>
      <c r="H58" s="6" t="str">
        <f t="shared" si="4"/>
        <v>CONUS</v>
      </c>
      <c r="I58" s="6" t="str">
        <f xml:space="preserve"> IF( risk_mainTable[[#This Row],[Sector]] = "", "",  INDEX(co_sectorInfo[rateUnit],MATCH(risk_mainTable[[#This Row],[Sector]],co_sectorInfo[sector],0)) )</f>
        <v/>
      </c>
      <c r="J58" s="6" t="str">
        <f>'Control Panel'!$C$37</f>
        <v/>
      </c>
      <c r="K58" s="3" t="str" cm="1">
        <f t="array" ref="K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8" s="3" t="str" cm="1">
        <f t="array" ref="L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8" s="3" t="str" cm="1">
        <f t="array" ref="M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8" s="3" t="str" cm="1">
        <f t="array" ref="N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8" s="3" t="str" cm="1">
        <f t="array" ref="O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8" s="3" t="str" cm="1">
        <f t="array" ref="P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8" s="3" t="str" cm="1">
        <f t="array" ref="Q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8" s="3" t="str" cm="1">
        <f t="array" ref="R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8" s="3" t="str" cm="1">
        <f t="array" ref="S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8" s="3" t="str" cm="1">
        <f t="array" ref="T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8" s="3" t="str" cm="1">
        <f t="array" ref="U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8" s="3" t="str" cm="1">
        <f t="array" ref="V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8" s="3" t="str" cm="1">
        <f t="array" ref="W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8" s="3" t="str" cm="1">
        <f t="array" ref="X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8" s="3" t="str" cm="1">
        <f t="array" ref="Y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8" s="3" t="str" cm="1">
        <f t="array" ref="Z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8" s="3" t="str" cm="1">
        <f t="array" ref="AA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9" spans="2:27" x14ac:dyDescent="0.25">
      <c r="B59" s="8" cm="1">
        <f t="array" ref="B59">ROW(risk_mainTable[[#This Row],[Row]]) - ROW(risk_mainTable[#Headers])</f>
        <v>23</v>
      </c>
      <c r="C59" s="8" t="str">
        <f t="shared" si="5"/>
        <v/>
      </c>
      <c r="D59" s="9" t="s">
        <v>33</v>
      </c>
      <c r="E59" s="6" t="str">
        <f>INDEX(SV_Categories[svGroupType],MATCH(risk_mainTable[[#This Row],[SV Category]],SV_Categories[svGroupLabel],0))</f>
        <v>sv_minority</v>
      </c>
      <c r="F59" s="6" t="str" cm="1">
        <f t="array" ref="F5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9" s="9" t="s">
        <v>73</v>
      </c>
      <c r="H59" s="6" t="str">
        <f t="shared" si="4"/>
        <v>CONUS</v>
      </c>
      <c r="I59" s="6" t="str">
        <f xml:space="preserve"> IF( risk_mainTable[[#This Row],[Sector]] = "", "",  INDEX(co_sectorInfo[rateUnit],MATCH(risk_mainTable[[#This Row],[Sector]],co_sectorInfo[sector],0)) )</f>
        <v/>
      </c>
      <c r="J59" s="6" t="str">
        <f>'Control Panel'!$C$38</f>
        <v/>
      </c>
      <c r="K59" s="3" t="str" cm="1">
        <f t="array" ref="K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9" s="3" t="str" cm="1">
        <f t="array" ref="L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9" s="3" t="str" cm="1">
        <f t="array" ref="M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9" s="3" t="str" cm="1">
        <f t="array" ref="N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9" s="3" t="str" cm="1">
        <f t="array" ref="O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9" s="3" t="str" cm="1">
        <f t="array" ref="P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9" s="3" t="str" cm="1">
        <f t="array" ref="Q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9" s="3" t="str" cm="1">
        <f t="array" ref="R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9" s="3" t="str" cm="1">
        <f t="array" ref="S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9" s="3" t="str" cm="1">
        <f t="array" ref="T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9" s="3" t="str" cm="1">
        <f t="array" ref="U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9" s="3" t="str" cm="1">
        <f t="array" ref="V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9" s="3" t="str" cm="1">
        <f t="array" ref="W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9" s="3" t="str" cm="1">
        <f t="array" ref="X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9" s="3" t="str" cm="1">
        <f t="array" ref="Y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9" s="3" t="str" cm="1">
        <f t="array" ref="Z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9" s="3" t="str" cm="1">
        <f t="array" ref="AA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0" spans="2:27" x14ac:dyDescent="0.25">
      <c r="B60" s="8" cm="1">
        <f t="array" ref="B60">ROW(risk_mainTable[[#This Row],[Row]]) - ROW(risk_mainTable[#Headers])</f>
        <v>24</v>
      </c>
      <c r="C60" s="8" t="str">
        <f t="shared" si="5"/>
        <v/>
      </c>
      <c r="D60" s="9" t="s">
        <v>33</v>
      </c>
      <c r="E60" s="6" t="str">
        <f>INDEX(SV_Categories[svGroupType],MATCH(risk_mainTable[[#This Row],[SV Category]],SV_Categories[svGroupLabel],0))</f>
        <v>sv_minority</v>
      </c>
      <c r="F60" s="6" t="str" cm="1">
        <f t="array" ref="F6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0" s="9" t="s">
        <v>73</v>
      </c>
      <c r="H60" s="6" t="str">
        <f t="shared" si="4"/>
        <v>CONUS</v>
      </c>
      <c r="I60" s="6" t="str">
        <f xml:space="preserve"> IF( risk_mainTable[[#This Row],[Sector]] = "", "",  INDEX(co_sectorInfo[rateUnit],MATCH(risk_mainTable[[#This Row],[Sector]],co_sectorInfo[sector],0)) )</f>
        <v/>
      </c>
      <c r="J60" s="6" t="str">
        <f>'Control Panel'!$C$39</f>
        <v/>
      </c>
      <c r="K60" s="3" t="str" cm="1">
        <f t="array" ref="K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0" s="3" t="str" cm="1">
        <f t="array" ref="L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0" s="3" t="str" cm="1">
        <f t="array" ref="M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0" s="3" t="str" cm="1">
        <f t="array" ref="N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0" s="3" t="str" cm="1">
        <f t="array" ref="O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0" s="3" t="str" cm="1">
        <f t="array" ref="P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0" s="3" t="str" cm="1">
        <f t="array" ref="Q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0" s="3" t="str" cm="1">
        <f t="array" ref="R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0" s="3" t="str" cm="1">
        <f t="array" ref="S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0" s="3" t="str" cm="1">
        <f t="array" ref="T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0" s="3" t="str" cm="1">
        <f t="array" ref="U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0" s="3" t="str" cm="1">
        <f t="array" ref="V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0" s="3" t="str" cm="1">
        <f t="array" ref="W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0" s="3" t="str" cm="1">
        <f t="array" ref="X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0" s="3" t="str" cm="1">
        <f t="array" ref="Y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0" s="3" t="str" cm="1">
        <f t="array" ref="Z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0" s="3" t="str" cm="1">
        <f t="array" ref="AA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1" spans="2:27" x14ac:dyDescent="0.25">
      <c r="B61" s="8" cm="1">
        <f t="array" ref="B61">ROW(risk_mainTable[[#This Row],[Row]]) - ROW(risk_mainTable[#Headers])</f>
        <v>25</v>
      </c>
      <c r="C61" s="8" t="str">
        <f t="shared" si="5"/>
        <v/>
      </c>
      <c r="D61" s="9" t="s">
        <v>27</v>
      </c>
      <c r="E61" s="6" t="str">
        <f>INDEX(SV_Categories[svGroupType],MATCH(risk_mainTable[[#This Row],[SV Category]],SV_Categories[svGroupLabel],0))</f>
        <v>sv_noHS</v>
      </c>
      <c r="F61" s="6" t="str" cm="1">
        <f t="array" ref="F6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1" s="9" t="s">
        <v>73</v>
      </c>
      <c r="H61" s="6" t="str">
        <f t="shared" si="4"/>
        <v>CONUS</v>
      </c>
      <c r="I61" s="6" t="str">
        <f xml:space="preserve"> IF( risk_mainTable[[#This Row],[Sector]] = "", "",  INDEX(co_sectorInfo[rateUnit],MATCH(risk_mainTable[[#This Row],[Sector]],co_sectorInfo[sector],0)) )</f>
        <v/>
      </c>
      <c r="J61" s="6" t="str">
        <f>'Control Panel'!$C$36</f>
        <v/>
      </c>
      <c r="K61" s="3" t="str" cm="1">
        <f t="array" ref="K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1" s="3" t="str" cm="1">
        <f t="array" ref="L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1" s="3" t="str" cm="1">
        <f t="array" ref="M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1" s="3" t="str" cm="1">
        <f t="array" ref="N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1" s="3" t="str" cm="1">
        <f t="array" ref="O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1" s="3" t="str" cm="1">
        <f t="array" ref="P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1" s="3" t="str" cm="1">
        <f t="array" ref="Q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1" s="3" t="str" cm="1">
        <f t="array" ref="R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1" s="3" t="str" cm="1">
        <f t="array" ref="S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1" s="3" t="str" cm="1">
        <f t="array" ref="T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1" s="3" t="str" cm="1">
        <f t="array" ref="U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1" s="3" t="str" cm="1">
        <f t="array" ref="V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1" s="3" t="str" cm="1">
        <f t="array" ref="W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1" s="3" t="str" cm="1">
        <f t="array" ref="X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1" s="3" t="str" cm="1">
        <f t="array" ref="Y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1" s="3" t="str" cm="1">
        <f t="array" ref="Z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1" s="3" t="str" cm="1">
        <f t="array" ref="AA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2" spans="2:27" x14ac:dyDescent="0.25">
      <c r="B62" s="8" cm="1">
        <f t="array" ref="B62">ROW(risk_mainTable[[#This Row],[Row]]) - ROW(risk_mainTable[#Headers])</f>
        <v>26</v>
      </c>
      <c r="C62" s="8" t="str">
        <f t="shared" si="5"/>
        <v/>
      </c>
      <c r="D62" s="9" t="s">
        <v>27</v>
      </c>
      <c r="E62" s="6" t="str">
        <f>INDEX(SV_Categories[svGroupType],MATCH(risk_mainTable[[#This Row],[SV Category]],SV_Categories[svGroupLabel],0))</f>
        <v>sv_noHS</v>
      </c>
      <c r="F62" s="6" t="str" cm="1">
        <f t="array" ref="F6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2" s="9" t="s">
        <v>73</v>
      </c>
      <c r="H62" s="6" t="str">
        <f t="shared" si="4"/>
        <v>CONUS</v>
      </c>
      <c r="I62" s="6" t="str">
        <f xml:space="preserve"> IF( risk_mainTable[[#This Row],[Sector]] = "", "",  INDEX(co_sectorInfo[rateUnit],MATCH(risk_mainTable[[#This Row],[Sector]],co_sectorInfo[sector],0)) )</f>
        <v/>
      </c>
      <c r="J62" s="6" t="str">
        <f>'Control Panel'!$C$37</f>
        <v/>
      </c>
      <c r="K62" s="3" t="str" cm="1">
        <f t="array" ref="K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2" s="3" t="str" cm="1">
        <f t="array" ref="L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2" s="3" t="str" cm="1">
        <f t="array" ref="M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2" s="3" t="str" cm="1">
        <f t="array" ref="N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2" s="3" t="str" cm="1">
        <f t="array" ref="O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2" s="3" t="str" cm="1">
        <f t="array" ref="P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2" s="3" t="str" cm="1">
        <f t="array" ref="Q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2" s="3" t="str" cm="1">
        <f t="array" ref="R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2" s="3" t="str" cm="1">
        <f t="array" ref="S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2" s="3" t="str" cm="1">
        <f t="array" ref="T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2" s="3" t="str" cm="1">
        <f t="array" ref="U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2" s="3" t="str" cm="1">
        <f t="array" ref="V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2" s="3" t="str" cm="1">
        <f t="array" ref="W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2" s="3" t="str" cm="1">
        <f t="array" ref="X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2" s="3" t="str" cm="1">
        <f t="array" ref="Y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2" s="3" t="str" cm="1">
        <f t="array" ref="Z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2" s="3" t="str" cm="1">
        <f t="array" ref="AA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3" spans="2:27" x14ac:dyDescent="0.25">
      <c r="B63" s="8" cm="1">
        <f t="array" ref="B63">ROW(risk_mainTable[[#This Row],[Row]]) - ROW(risk_mainTable[#Headers])</f>
        <v>27</v>
      </c>
      <c r="C63" s="8" t="str">
        <f t="shared" si="5"/>
        <v/>
      </c>
      <c r="D63" s="9" t="s">
        <v>27</v>
      </c>
      <c r="E63" s="6" t="str">
        <f>INDEX(SV_Categories[svGroupType],MATCH(risk_mainTable[[#This Row],[SV Category]],SV_Categories[svGroupLabel],0))</f>
        <v>sv_noHS</v>
      </c>
      <c r="F63" s="6" t="str" cm="1">
        <f t="array" ref="F6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3" s="9" t="s">
        <v>73</v>
      </c>
      <c r="H63" s="6" t="str">
        <f t="shared" si="4"/>
        <v>CONUS</v>
      </c>
      <c r="I63" s="6" t="str">
        <f xml:space="preserve"> IF( risk_mainTable[[#This Row],[Sector]] = "", "",  INDEX(co_sectorInfo[rateUnit],MATCH(risk_mainTable[[#This Row],[Sector]],co_sectorInfo[sector],0)) )</f>
        <v/>
      </c>
      <c r="J63" s="6" t="str">
        <f>'Control Panel'!$C$38</f>
        <v/>
      </c>
      <c r="K63" s="3" t="str" cm="1">
        <f t="array" ref="K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3" s="3" t="str" cm="1">
        <f t="array" ref="L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3" s="3" t="str" cm="1">
        <f t="array" ref="M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3" s="3" t="str" cm="1">
        <f t="array" ref="N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3" s="3" t="str" cm="1">
        <f t="array" ref="O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3" s="3" t="str" cm="1">
        <f t="array" ref="P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3" s="3" t="str" cm="1">
        <f t="array" ref="Q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3" s="3" t="str" cm="1">
        <f t="array" ref="R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3" s="3" t="str" cm="1">
        <f t="array" ref="S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3" s="3" t="str" cm="1">
        <f t="array" ref="T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3" s="3" t="str" cm="1">
        <f t="array" ref="U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3" s="3" t="str" cm="1">
        <f t="array" ref="V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3" s="3" t="str" cm="1">
        <f t="array" ref="W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3" s="3" t="str" cm="1">
        <f t="array" ref="X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3" s="3" t="str" cm="1">
        <f t="array" ref="Y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3" s="3" t="str" cm="1">
        <f t="array" ref="Z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3" s="3" t="str" cm="1">
        <f t="array" ref="AA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4" spans="2:27" x14ac:dyDescent="0.25">
      <c r="B64" s="8" cm="1">
        <f t="array" ref="B64">ROW(risk_mainTable[[#This Row],[Row]]) - ROW(risk_mainTable[#Headers])</f>
        <v>28</v>
      </c>
      <c r="C64" s="8" t="str">
        <f t="shared" si="5"/>
        <v/>
      </c>
      <c r="D64" s="9" t="s">
        <v>27</v>
      </c>
      <c r="E64" s="6" t="str">
        <f>INDEX(SV_Categories[svGroupType],MATCH(risk_mainTable[[#This Row],[SV Category]],SV_Categories[svGroupLabel],0))</f>
        <v>sv_noHS</v>
      </c>
      <c r="F64" s="6" t="str" cm="1">
        <f t="array" ref="F6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4" s="9" t="s">
        <v>73</v>
      </c>
      <c r="H64" s="6" t="str">
        <f t="shared" si="4"/>
        <v>CONUS</v>
      </c>
      <c r="I64" s="6" t="str">
        <f xml:space="preserve"> IF( risk_mainTable[[#This Row],[Sector]] = "", "",  INDEX(co_sectorInfo[rateUnit],MATCH(risk_mainTable[[#This Row],[Sector]],co_sectorInfo[sector],0)) )</f>
        <v/>
      </c>
      <c r="J64" s="6" t="str">
        <f>'Control Panel'!$C$39</f>
        <v/>
      </c>
      <c r="K64" s="3" t="str" cm="1">
        <f t="array" ref="K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4" s="3" t="str" cm="1">
        <f t="array" ref="L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4" s="3" t="str" cm="1">
        <f t="array" ref="M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4" s="3" t="str" cm="1">
        <f t="array" ref="N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4" s="3" t="str" cm="1">
        <f t="array" ref="O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4" s="3" t="str" cm="1">
        <f t="array" ref="P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4" s="3" t="str" cm="1">
        <f t="array" ref="Q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4" s="3" t="str" cm="1">
        <f t="array" ref="R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4" s="3" t="str" cm="1">
        <f t="array" ref="S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4" s="3" t="str" cm="1">
        <f t="array" ref="T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4" s="3" t="str" cm="1">
        <f t="array" ref="U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4" s="3" t="str" cm="1">
        <f t="array" ref="V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4" s="3" t="str" cm="1">
        <f t="array" ref="W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4" s="3" t="str" cm="1">
        <f t="array" ref="X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4" s="3" t="str" cm="1">
        <f t="array" ref="Y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4" s="3" t="str" cm="1">
        <f t="array" ref="Z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4" s="3" t="str" cm="1">
        <f t="array" ref="AA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5" spans="2:27" x14ac:dyDescent="0.25">
      <c r="B65" s="8" cm="1">
        <f t="array" ref="B65">ROW(risk_mainTable[[#This Row],[Row]]) - ROW(risk_mainTable[#Headers])</f>
        <v>29</v>
      </c>
      <c r="C65" s="8" t="str">
        <f t="shared" si="5"/>
        <v/>
      </c>
      <c r="D65" s="9" t="s">
        <v>29</v>
      </c>
      <c r="E65" s="6" t="str">
        <f>INDEX(SV_Categories[svGroupType],MATCH(risk_mainTable[[#This Row],[SV Category]],SV_Categories[svGroupLabel],0))</f>
        <v>sv_plus65</v>
      </c>
      <c r="F65" s="6" t="str" cm="1">
        <f t="array" ref="F6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5" s="9" t="s">
        <v>73</v>
      </c>
      <c r="H65" s="6" t="str">
        <f t="shared" si="4"/>
        <v>CONUS</v>
      </c>
      <c r="I65" s="6" t="str">
        <f xml:space="preserve"> IF( risk_mainTable[[#This Row],[Sector]] = "", "",  INDEX(co_sectorInfo[rateUnit],MATCH(risk_mainTable[[#This Row],[Sector]],co_sectorInfo[sector],0)) )</f>
        <v/>
      </c>
      <c r="J65" s="6" t="str">
        <f>'Control Panel'!$C$36</f>
        <v/>
      </c>
      <c r="K65" s="3" t="str" cm="1">
        <f t="array" ref="K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5" s="3" t="str" cm="1">
        <f t="array" ref="L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5" s="3" t="str" cm="1">
        <f t="array" ref="M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5" s="3" t="str" cm="1">
        <f t="array" ref="N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5" s="3" t="str" cm="1">
        <f t="array" ref="O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5" s="3" t="str" cm="1">
        <f t="array" ref="P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5" s="3" t="str" cm="1">
        <f t="array" ref="Q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5" s="3" t="str" cm="1">
        <f t="array" ref="R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5" s="3" t="str" cm="1">
        <f t="array" ref="S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5" s="3" t="str" cm="1">
        <f t="array" ref="T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5" s="3" t="str" cm="1">
        <f t="array" ref="U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5" s="3" t="str" cm="1">
        <f t="array" ref="V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5" s="3" t="str" cm="1">
        <f t="array" ref="W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5" s="3" t="str" cm="1">
        <f t="array" ref="X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5" s="3" t="str" cm="1">
        <f t="array" ref="Y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5" s="3" t="str" cm="1">
        <f t="array" ref="Z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5" s="3" t="str" cm="1">
        <f t="array" ref="AA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6" spans="2:27" x14ac:dyDescent="0.25">
      <c r="B66" s="8" cm="1">
        <f t="array" ref="B66">ROW(risk_mainTable[[#This Row],[Row]]) - ROW(risk_mainTable[#Headers])</f>
        <v>30</v>
      </c>
      <c r="C66" s="8" t="str">
        <f t="shared" si="5"/>
        <v/>
      </c>
      <c r="D66" s="9" t="s">
        <v>29</v>
      </c>
      <c r="E66" s="6" t="str">
        <f>INDEX(SV_Categories[svGroupType],MATCH(risk_mainTable[[#This Row],[SV Category]],SV_Categories[svGroupLabel],0))</f>
        <v>sv_plus65</v>
      </c>
      <c r="F66" s="6" t="str" cm="1">
        <f t="array" ref="F6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6" s="9" t="s">
        <v>73</v>
      </c>
      <c r="H66" s="6" t="str">
        <f t="shared" si="4"/>
        <v>CONUS</v>
      </c>
      <c r="I66" s="6" t="str">
        <f xml:space="preserve"> IF( risk_mainTable[[#This Row],[Sector]] = "", "",  INDEX(co_sectorInfo[rateUnit],MATCH(risk_mainTable[[#This Row],[Sector]],co_sectorInfo[sector],0)) )</f>
        <v/>
      </c>
      <c r="J66" s="6" t="str">
        <f>'Control Panel'!$C$37</f>
        <v/>
      </c>
      <c r="K66" s="3" t="str" cm="1">
        <f t="array" ref="K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6" s="3" t="str" cm="1">
        <f t="array" ref="L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6" s="3" t="str" cm="1">
        <f t="array" ref="M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6" s="3" t="str" cm="1">
        <f t="array" ref="N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6" s="3" t="str" cm="1">
        <f t="array" ref="O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6" s="3" t="str" cm="1">
        <f t="array" ref="P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6" s="3" t="str" cm="1">
        <f t="array" ref="Q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6" s="3" t="str" cm="1">
        <f t="array" ref="R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6" s="3" t="str" cm="1">
        <f t="array" ref="S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6" s="3" t="str" cm="1">
        <f t="array" ref="T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6" s="3" t="str" cm="1">
        <f t="array" ref="U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6" s="3" t="str" cm="1">
        <f t="array" ref="V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6" s="3" t="str" cm="1">
        <f t="array" ref="W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6" s="3" t="str" cm="1">
        <f t="array" ref="X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6" s="3" t="str" cm="1">
        <f t="array" ref="Y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6" s="3" t="str" cm="1">
        <f t="array" ref="Z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6" s="3" t="str" cm="1">
        <f t="array" ref="AA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7" spans="2:27" x14ac:dyDescent="0.25">
      <c r="B67" s="8" cm="1">
        <f t="array" ref="B67">ROW(risk_mainTable[[#This Row],[Row]]) - ROW(risk_mainTable[#Headers])</f>
        <v>31</v>
      </c>
      <c r="C67" s="8" t="str">
        <f t="shared" si="5"/>
        <v/>
      </c>
      <c r="D67" s="9" t="s">
        <v>29</v>
      </c>
      <c r="E67" s="6" t="str">
        <f>INDEX(SV_Categories[svGroupType],MATCH(risk_mainTable[[#This Row],[SV Category]],SV_Categories[svGroupLabel],0))</f>
        <v>sv_plus65</v>
      </c>
      <c r="F67" s="6" t="str" cm="1">
        <f t="array" ref="F6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7" s="9" t="s">
        <v>73</v>
      </c>
      <c r="H67" s="6" t="str">
        <f t="shared" si="4"/>
        <v>CONUS</v>
      </c>
      <c r="I67" s="6" t="str">
        <f xml:space="preserve"> IF( risk_mainTable[[#This Row],[Sector]] = "", "",  INDEX(co_sectorInfo[rateUnit],MATCH(risk_mainTable[[#This Row],[Sector]],co_sectorInfo[sector],0)) )</f>
        <v/>
      </c>
      <c r="J67" s="6" t="str">
        <f>'Control Panel'!$C$38</f>
        <v/>
      </c>
      <c r="K67" s="3" t="str" cm="1">
        <f t="array" ref="K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7" s="3" t="str" cm="1">
        <f t="array" ref="L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7" s="3" t="str" cm="1">
        <f t="array" ref="M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7" s="3" t="str" cm="1">
        <f t="array" ref="N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7" s="3" t="str" cm="1">
        <f t="array" ref="O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7" s="3" t="str" cm="1">
        <f t="array" ref="P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7" s="3" t="str" cm="1">
        <f t="array" ref="Q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7" s="3" t="str" cm="1">
        <f t="array" ref="R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7" s="3" t="str" cm="1">
        <f t="array" ref="S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7" s="3" t="str" cm="1">
        <f t="array" ref="T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7" s="3" t="str" cm="1">
        <f t="array" ref="U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7" s="3" t="str" cm="1">
        <f t="array" ref="V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7" s="3" t="str" cm="1">
        <f t="array" ref="W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7" s="3" t="str" cm="1">
        <f t="array" ref="X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7" s="3" t="str" cm="1">
        <f t="array" ref="Y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7" s="3" t="str" cm="1">
        <f t="array" ref="Z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7" s="3" t="str" cm="1">
        <f t="array" ref="AA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8" spans="2:27" x14ac:dyDescent="0.25">
      <c r="B68" s="8" cm="1">
        <f t="array" ref="B68">ROW(risk_mainTable[[#This Row],[Row]]) - ROW(risk_mainTable[#Headers])</f>
        <v>32</v>
      </c>
      <c r="C68" s="8" t="str">
        <f t="shared" si="5"/>
        <v/>
      </c>
      <c r="D68" s="9" t="s">
        <v>29</v>
      </c>
      <c r="E68" s="6" t="str">
        <f>INDEX(SV_Categories[svGroupType],MATCH(risk_mainTable[[#This Row],[SV Category]],SV_Categories[svGroupLabel],0))</f>
        <v>sv_plus65</v>
      </c>
      <c r="F68" s="6" t="str" cm="1">
        <f t="array" ref="F6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8" s="9" t="s">
        <v>73</v>
      </c>
      <c r="H68" s="6" t="str">
        <f t="shared" si="4"/>
        <v>CONUS</v>
      </c>
      <c r="I68" s="6" t="str">
        <f xml:space="preserve"> IF( risk_mainTable[[#This Row],[Sector]] = "", "",  INDEX(co_sectorInfo[rateUnit],MATCH(risk_mainTable[[#This Row],[Sector]],co_sectorInfo[sector],0)) )</f>
        <v/>
      </c>
      <c r="J68" s="6" t="str">
        <f>'Control Panel'!$C$39</f>
        <v/>
      </c>
      <c r="K68" s="3" t="str" cm="1">
        <f t="array" ref="K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8" s="3" t="str" cm="1">
        <f t="array" ref="L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8" s="3" t="str" cm="1">
        <f t="array" ref="M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8" s="3" t="str" cm="1">
        <f t="array" ref="N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8" s="3" t="str" cm="1">
        <f t="array" ref="O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8" s="3" t="str" cm="1">
        <f t="array" ref="P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8" s="3" t="str" cm="1">
        <f t="array" ref="Q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8" s="3" t="str" cm="1">
        <f t="array" ref="R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8" s="3" t="str" cm="1">
        <f t="array" ref="S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8" s="3" t="str" cm="1">
        <f t="array" ref="T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8" s="3" t="str" cm="1">
        <f t="array" ref="U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8" s="3" t="str" cm="1">
        <f t="array" ref="V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8" s="3" t="str" cm="1">
        <f t="array" ref="W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8" s="3" t="str" cm="1">
        <f t="array" ref="X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8" s="3" t="str" cm="1">
        <f t="array" ref="Y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8" s="3" t="str" cm="1">
        <f t="array" ref="Z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8" s="3" t="str" cm="1">
        <f t="array" ref="AA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70" spans="2:27" x14ac:dyDescent="0.25">
      <c r="B70"/>
      <c r="C70"/>
      <c r="D70"/>
      <c r="E70"/>
      <c r="F70"/>
      <c r="G70"/>
      <c r="H70"/>
      <c r="I70"/>
      <c r="J70"/>
      <c r="K70"/>
    </row>
    <row r="71" spans="2:27" x14ac:dyDescent="0.25">
      <c r="B71"/>
      <c r="C71"/>
      <c r="D71"/>
      <c r="E71"/>
      <c r="F71"/>
      <c r="G71"/>
      <c r="H71"/>
      <c r="I71"/>
      <c r="J71"/>
      <c r="K71"/>
    </row>
    <row r="72" spans="2:27" x14ac:dyDescent="0.25">
      <c r="B72"/>
      <c r="C72"/>
      <c r="D72"/>
      <c r="E72"/>
      <c r="F72"/>
      <c r="G72"/>
      <c r="H72"/>
      <c r="I72"/>
      <c r="J72"/>
      <c r="K72"/>
    </row>
    <row r="73" spans="2:27" x14ac:dyDescent="0.25">
      <c r="B73"/>
      <c r="C73"/>
      <c r="D73"/>
      <c r="E73"/>
      <c r="F73"/>
      <c r="G73"/>
      <c r="H73"/>
      <c r="I73"/>
      <c r="J73"/>
      <c r="K73"/>
    </row>
    <row r="74" spans="2:27" x14ac:dyDescent="0.25">
      <c r="B74"/>
      <c r="C74"/>
      <c r="D74"/>
      <c r="E74"/>
      <c r="F74"/>
      <c r="G74"/>
      <c r="H74"/>
      <c r="I74"/>
      <c r="J74"/>
      <c r="K74"/>
    </row>
    <row r="75" spans="2:27" x14ac:dyDescent="0.25">
      <c r="B75"/>
      <c r="C75"/>
      <c r="D75"/>
      <c r="E75"/>
      <c r="F75"/>
      <c r="G75"/>
      <c r="H75"/>
      <c r="I75"/>
      <c r="J75"/>
      <c r="K75"/>
    </row>
    <row r="76" spans="2:27" x14ac:dyDescent="0.25">
      <c r="B76"/>
      <c r="C76"/>
      <c r="D76"/>
      <c r="E76"/>
      <c r="F76"/>
      <c r="G76"/>
      <c r="H76"/>
      <c r="I76"/>
      <c r="J76"/>
      <c r="K76"/>
    </row>
    <row r="77" spans="2:27" x14ac:dyDescent="0.25">
      <c r="B77"/>
      <c r="C77"/>
      <c r="D77"/>
      <c r="E77"/>
      <c r="F77"/>
      <c r="G77"/>
      <c r="H77"/>
      <c r="I77"/>
      <c r="J77"/>
      <c r="K77"/>
    </row>
    <row r="78" spans="2:27" x14ac:dyDescent="0.25">
      <c r="B78"/>
      <c r="C78"/>
      <c r="D78"/>
      <c r="E78"/>
      <c r="F78"/>
      <c r="G78"/>
      <c r="H78"/>
      <c r="I78"/>
      <c r="J78"/>
      <c r="K78"/>
    </row>
    <row r="79" spans="2:27" x14ac:dyDescent="0.25">
      <c r="B79"/>
      <c r="C79"/>
      <c r="D79"/>
      <c r="E79"/>
      <c r="F79"/>
      <c r="G79"/>
      <c r="H79"/>
      <c r="I79"/>
      <c r="J79"/>
      <c r="K79"/>
    </row>
    <row r="80" spans="2:27" x14ac:dyDescent="0.25">
      <c r="B80"/>
      <c r="C80"/>
      <c r="D80"/>
      <c r="E80"/>
      <c r="F80"/>
      <c r="G80"/>
      <c r="H80"/>
      <c r="I80"/>
      <c r="J80"/>
      <c r="K80"/>
    </row>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spans="2:11" x14ac:dyDescent="0.25">
      <c r="B97"/>
      <c r="C97"/>
      <c r="D97"/>
      <c r="E97"/>
      <c r="F97"/>
      <c r="G97"/>
      <c r="H97"/>
      <c r="I97"/>
      <c r="J97"/>
      <c r="K97"/>
    </row>
    <row r="98" spans="2:11" x14ac:dyDescent="0.25">
      <c r="B98"/>
      <c r="C98"/>
      <c r="D98"/>
      <c r="E98"/>
      <c r="F98"/>
      <c r="G98"/>
      <c r="H98"/>
      <c r="I98"/>
      <c r="J98"/>
      <c r="K98"/>
    </row>
    <row r="99" spans="2:11" x14ac:dyDescent="0.25">
      <c r="B99"/>
      <c r="C99"/>
      <c r="D99"/>
      <c r="E99"/>
      <c r="F99"/>
      <c r="G99"/>
      <c r="H99"/>
      <c r="I99"/>
      <c r="J99"/>
      <c r="K99"/>
    </row>
    <row r="100" spans="2:11" x14ac:dyDescent="0.25">
      <c r="B100"/>
      <c r="C100"/>
      <c r="D100"/>
      <c r="E100"/>
      <c r="F100"/>
      <c r="G100"/>
      <c r="H100"/>
      <c r="I100"/>
      <c r="J100"/>
      <c r="K100"/>
    </row>
    <row r="101" spans="2:11" x14ac:dyDescent="0.25">
      <c r="B101"/>
      <c r="C101"/>
      <c r="D101"/>
      <c r="E101"/>
      <c r="F101"/>
      <c r="G101"/>
      <c r="H101"/>
      <c r="I101"/>
      <c r="J101"/>
      <c r="K101"/>
    </row>
    <row r="102" spans="2:11" x14ac:dyDescent="0.25">
      <c r="B102"/>
      <c r="C102"/>
      <c r="D102"/>
      <c r="E102"/>
      <c r="F102"/>
      <c r="G102"/>
      <c r="H102"/>
      <c r="I102"/>
      <c r="J102"/>
      <c r="K102"/>
    </row>
    <row r="103" spans="2:11" x14ac:dyDescent="0.25">
      <c r="F103"/>
      <c r="G103"/>
      <c r="H103"/>
      <c r="I103"/>
      <c r="J103"/>
      <c r="K103"/>
    </row>
  </sheetData>
  <dataValidations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3:D4"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2E89-34FC-412F-B310-E9D6FA0FB819}">
  <sheetPr>
    <tabColor theme="4" tint="0.59999389629810485"/>
  </sheetPr>
  <dimension ref="B1:X125"/>
  <sheetViews>
    <sheetView topLeftCell="A59" zoomScale="80" zoomScaleNormal="80" workbookViewId="0">
      <selection activeCell="L80" sqref="L80"/>
    </sheetView>
  </sheetViews>
  <sheetFormatPr defaultRowHeight="12.75" x14ac:dyDescent="0.2"/>
  <cols>
    <col min="1" max="1" width="9.140625" style="6"/>
    <col min="2" max="2" width="7.140625" style="6" bestFit="1" customWidth="1"/>
    <col min="3" max="3" width="30" style="6" customWidth="1"/>
    <col min="4" max="5" width="26.42578125" style="6" customWidth="1"/>
    <col min="6" max="24" width="20.85546875" style="6" customWidth="1"/>
    <col min="25" max="29" width="9.140625" style="6"/>
    <col min="30" max="32" width="10.28515625" style="6" bestFit="1" customWidth="1"/>
    <col min="33" max="16384" width="9.140625" style="6"/>
  </cols>
  <sheetData>
    <row r="1" spans="3:5" x14ac:dyDescent="0.2">
      <c r="C1" s="32" t="s">
        <v>31</v>
      </c>
    </row>
    <row r="2" spans="3:5" x14ac:dyDescent="0.2">
      <c r="C2" s="16" t="s">
        <v>32</v>
      </c>
      <c r="D2" s="15" t="s">
        <v>33</v>
      </c>
      <c r="E2" s="6" t="e">
        <f>IF(INDEX(co_sectorInfo[Missing SV Group Text],MATCH(input_sector,co_sectorInfo[sector],0))&lt;&gt;"",_xlfn.TEXTJOIN(" ",TRUE,INDEX(co_sectorInfo[Missing SV Group Text],MATCH(input_sector,co_sectorInfo[sector],0)),"not included for",input_sector),"")</f>
        <v>#N/A</v>
      </c>
    </row>
    <row r="3" spans="3:5" x14ac:dyDescent="0.2">
      <c r="C3" s="16" t="s">
        <v>34</v>
      </c>
      <c r="D3" s="15"/>
    </row>
    <row r="4" spans="3:5" x14ac:dyDescent="0.2">
      <c r="C4" s="16" t="s">
        <v>37</v>
      </c>
      <c r="D4" s="15"/>
    </row>
    <row r="5" spans="3:5" x14ac:dyDescent="0.2">
      <c r="C5" s="16" t="s">
        <v>35</v>
      </c>
      <c r="D5" s="15" t="s">
        <v>36</v>
      </c>
    </row>
    <row r="31" spans="3:5" x14ac:dyDescent="0.2">
      <c r="C31" s="32" t="s">
        <v>31</v>
      </c>
    </row>
    <row r="32" spans="3:5" x14ac:dyDescent="0.2">
      <c r="C32" s="16" t="s">
        <v>78</v>
      </c>
      <c r="D32" s="15" t="s">
        <v>33</v>
      </c>
      <c r="E32" s="6" t="e">
        <f>IF(INDEX(co_sectorInfo[Missing SV Group Text],MATCH(input_sector,co_sectorInfo[sector],0))&lt;&gt;"",_xlfn.TEXTJOIN(" ",TRUE,INDEX(co_sectorInfo[Missing SV Group Text],MATCH(input_sector,co_sectorInfo[sector],0)),"not included for",input_sector),"")</f>
        <v>#N/A</v>
      </c>
    </row>
    <row r="33" spans="3:4" x14ac:dyDescent="0.2">
      <c r="C33" s="16" t="s">
        <v>79</v>
      </c>
      <c r="D33" s="15" t="s">
        <v>36</v>
      </c>
    </row>
    <row r="58" spans="3:8" x14ac:dyDescent="0.2">
      <c r="C58" s="32" t="s">
        <v>31</v>
      </c>
      <c r="G58" s="32" t="s">
        <v>31</v>
      </c>
    </row>
    <row r="59" spans="3:8" x14ac:dyDescent="0.2">
      <c r="C59" s="16" t="s">
        <v>74</v>
      </c>
      <c r="D59" s="15"/>
      <c r="G59" s="16" t="s">
        <v>34</v>
      </c>
      <c r="H59" s="15"/>
    </row>
    <row r="60" spans="3:8" x14ac:dyDescent="0.2">
      <c r="C60" s="16" t="s">
        <v>35</v>
      </c>
      <c r="D60" s="15" t="s">
        <v>36</v>
      </c>
      <c r="G60" s="16" t="s">
        <v>37</v>
      </c>
      <c r="H60" s="15"/>
    </row>
    <row r="61" spans="3:8" x14ac:dyDescent="0.2">
      <c r="C61" s="16" t="s">
        <v>38</v>
      </c>
      <c r="D61" s="17" t="s">
        <v>39</v>
      </c>
      <c r="G61" s="16" t="s">
        <v>35</v>
      </c>
      <c r="H61" s="15" t="s">
        <v>36</v>
      </c>
    </row>
    <row r="62" spans="3:8" x14ac:dyDescent="0.2">
      <c r="G62" s="16" t="s">
        <v>38</v>
      </c>
      <c r="H62" s="17" t="s">
        <v>39</v>
      </c>
    </row>
    <row r="90" spans="2:24" x14ac:dyDescent="0.2">
      <c r="G90" s="6" t="s">
        <v>40</v>
      </c>
      <c r="H90" s="6">
        <f xml:space="preserve"> VALUE( H91 )</f>
        <v>2010</v>
      </c>
      <c r="I90" s="6">
        <f t="shared" ref="I90:X90" si="0" xml:space="preserve"> VALUE( I91 )</f>
        <v>2015</v>
      </c>
      <c r="J90" s="6">
        <f t="shared" si="0"/>
        <v>2020</v>
      </c>
      <c r="K90" s="6">
        <f t="shared" si="0"/>
        <v>2025</v>
      </c>
      <c r="L90" s="6">
        <f t="shared" si="0"/>
        <v>2030</v>
      </c>
      <c r="M90" s="6">
        <f t="shared" si="0"/>
        <v>2035</v>
      </c>
      <c r="N90" s="6">
        <f t="shared" si="0"/>
        <v>2040</v>
      </c>
      <c r="O90" s="6">
        <f t="shared" si="0"/>
        <v>2045</v>
      </c>
      <c r="P90" s="6">
        <f t="shared" si="0"/>
        <v>2050</v>
      </c>
      <c r="Q90" s="6">
        <f t="shared" si="0"/>
        <v>2055</v>
      </c>
      <c r="R90" s="6">
        <f t="shared" si="0"/>
        <v>2060</v>
      </c>
      <c r="S90" s="6">
        <f t="shared" si="0"/>
        <v>2065</v>
      </c>
      <c r="T90" s="6">
        <f t="shared" si="0"/>
        <v>2070</v>
      </c>
      <c r="U90" s="6">
        <f t="shared" si="0"/>
        <v>2075</v>
      </c>
      <c r="V90" s="6">
        <f t="shared" si="0"/>
        <v>2080</v>
      </c>
      <c r="W90" s="6">
        <f t="shared" si="0"/>
        <v>2085</v>
      </c>
      <c r="X90" s="6">
        <f t="shared" si="0"/>
        <v>2090</v>
      </c>
    </row>
    <row r="91" spans="2:24" x14ac:dyDescent="0.2">
      <c r="B91" s="6" t="s">
        <v>41</v>
      </c>
      <c r="C91" s="6" t="s">
        <v>80</v>
      </c>
      <c r="D91" s="6" t="s">
        <v>81</v>
      </c>
      <c r="E91" s="6" t="s">
        <v>37</v>
      </c>
      <c r="F91" s="6" t="s">
        <v>32</v>
      </c>
      <c r="G91" s="6" t="s">
        <v>35</v>
      </c>
      <c r="H91" s="18" t="s">
        <v>42</v>
      </c>
      <c r="I91" s="18" t="s">
        <v>43</v>
      </c>
      <c r="J91" s="18" t="s">
        <v>44</v>
      </c>
      <c r="K91" s="18" t="s">
        <v>45</v>
      </c>
      <c r="L91" s="18" t="s">
        <v>46</v>
      </c>
      <c r="M91" s="18" t="s">
        <v>47</v>
      </c>
      <c r="N91" s="18" t="s">
        <v>48</v>
      </c>
      <c r="O91" s="18" t="s">
        <v>49</v>
      </c>
      <c r="P91" s="18" t="s">
        <v>39</v>
      </c>
      <c r="Q91" s="18" t="s">
        <v>50</v>
      </c>
      <c r="R91" s="18" t="s">
        <v>51</v>
      </c>
      <c r="S91" s="18" t="s">
        <v>52</v>
      </c>
      <c r="T91" s="18" t="s">
        <v>53</v>
      </c>
      <c r="U91" s="18" t="s">
        <v>54</v>
      </c>
      <c r="V91" s="18" t="s">
        <v>55</v>
      </c>
      <c r="W91" s="18" t="s">
        <v>56</v>
      </c>
      <c r="X91" s="18" t="s">
        <v>57</v>
      </c>
    </row>
    <row r="92" spans="2:24" x14ac:dyDescent="0.2">
      <c r="B92" s="8" cm="1">
        <f t="array" ref="B92">ROW(Table20[[#This Row],[Row]]) - ROW(Table20[#Headers])</f>
        <v>1</v>
      </c>
      <c r="C92" s="9" t="s">
        <v>72</v>
      </c>
      <c r="D92" s="6" t="str">
        <f t="shared" ref="D92:D93" si="1">IF(ISBLANK($D$3),"",$D$3)</f>
        <v/>
      </c>
      <c r="E92" s="6" t="str">
        <f xml:space="preserve"> IF( ISBLANK( $D$4 ), "", $D$4 )</f>
        <v/>
      </c>
      <c r="F92" s="6" t="str">
        <f t="shared" ref="F92:F93" si="2" xml:space="preserve"> IF( ISBLANK( $D$2 ), "", $D$2 )</f>
        <v>Minority</v>
      </c>
      <c r="G92" s="6" t="str">
        <f t="shared" ref="G92:G93" si="3" xml:space="preserve"> IF( ISBLANK( $D$5 ), "", $D$5 )</f>
        <v>CONUS</v>
      </c>
      <c r="H92" s="6" t="str" cm="1">
        <f t="array" ref="H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2" s="6" t="str" cm="1">
        <f t="array" ref="I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2" s="6" t="str" cm="1">
        <f t="array" ref="J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2" s="6" t="str" cm="1">
        <f t="array" ref="K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2" s="6" t="str" cm="1">
        <f t="array" ref="L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2" s="6" t="str" cm="1">
        <f t="array" ref="M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2" s="6" t="str" cm="1">
        <f t="array" ref="N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2" s="6" t="str" cm="1">
        <f t="array" ref="O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2" s="6" t="str" cm="1">
        <f t="array" ref="P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2" s="6" t="str" cm="1">
        <f t="array" ref="Q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2" s="6" t="str" cm="1">
        <f t="array" ref="R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2" s="6" t="str" cm="1">
        <f t="array" ref="S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2" s="6" t="str" cm="1">
        <f t="array" ref="T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2" s="6" t="str" cm="1">
        <f t="array" ref="U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2" s="6" t="str" cm="1">
        <f t="array" ref="V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2" s="6" t="str" cm="1">
        <f t="array" ref="W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2" s="6" t="str" cm="1">
        <f t="array" ref="X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3" spans="2:24" x14ac:dyDescent="0.2">
      <c r="B93" s="8" cm="1">
        <f t="array" ref="B93">ROW(Table20[[#This Row],[Row]]) - ROW(Table20[#Headers])</f>
        <v>2</v>
      </c>
      <c r="C93" s="9" t="s">
        <v>73</v>
      </c>
      <c r="D93" s="6" t="str">
        <f t="shared" si="1"/>
        <v/>
      </c>
      <c r="E93" s="6" t="str">
        <f xml:space="preserve"> IF( ISBLANK( $D$4 ), "", $D$4 )</f>
        <v/>
      </c>
      <c r="F93" s="6" t="str">
        <f t="shared" si="2"/>
        <v>Minority</v>
      </c>
      <c r="G93" s="6" t="str">
        <f t="shared" si="3"/>
        <v>CONUS</v>
      </c>
      <c r="H93" s="6" t="str" cm="1">
        <f t="array" ref="H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3" s="6" t="str" cm="1">
        <f t="array" ref="I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3" s="6" t="str" cm="1">
        <f t="array" ref="J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3" s="6" t="str" cm="1">
        <f t="array" ref="K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3" s="6" t="str" cm="1">
        <f t="array" ref="L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3" s="6" t="str" cm="1">
        <f t="array" ref="M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3" s="6" t="str" cm="1">
        <f t="array" ref="N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3" s="6" t="str" cm="1">
        <f t="array" ref="O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3" s="6" t="str" cm="1">
        <f t="array" ref="P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3" s="6" t="str" cm="1">
        <f t="array" ref="Q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3" s="6" t="str" cm="1">
        <f t="array" ref="R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3" s="6" t="str" cm="1">
        <f t="array" ref="S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3" s="6" t="str" cm="1">
        <f t="array" ref="T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3" s="6" t="str" cm="1">
        <f t="array" ref="U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3" s="6" t="str" cm="1">
        <f t="array" ref="V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3" s="6" t="str" cm="1">
        <f t="array" ref="W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3" s="6" t="str" cm="1">
        <f t="array" ref="X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4" spans="2:24" x14ac:dyDescent="0.2">
      <c r="C94" s="18"/>
    </row>
    <row r="95" spans="2:24" x14ac:dyDescent="0.2">
      <c r="C95" s="18"/>
    </row>
    <row r="96" spans="2:24" x14ac:dyDescent="0.2">
      <c r="C96" s="18"/>
      <c r="E96" s="6" t="s">
        <v>40</v>
      </c>
      <c r="F96" s="6">
        <f xml:space="preserve"> VALUE( F97 )</f>
        <v>2010</v>
      </c>
      <c r="G96" s="6">
        <f t="shared" ref="G96" si="4" xml:space="preserve"> VALUE( G97 )</f>
        <v>2015</v>
      </c>
      <c r="H96" s="6">
        <f t="shared" ref="H96" si="5" xml:space="preserve"> VALUE( H97 )</f>
        <v>2020</v>
      </c>
      <c r="I96" s="6">
        <f t="shared" ref="I96" si="6" xml:space="preserve"> VALUE( I97 )</f>
        <v>2025</v>
      </c>
      <c r="J96" s="6">
        <f t="shared" ref="J96" si="7" xml:space="preserve"> VALUE( J97 )</f>
        <v>2030</v>
      </c>
      <c r="K96" s="6">
        <f t="shared" ref="K96" si="8" xml:space="preserve"> VALUE( K97 )</f>
        <v>2035</v>
      </c>
      <c r="L96" s="6">
        <f t="shared" ref="L96" si="9" xml:space="preserve"> VALUE( L97 )</f>
        <v>2040</v>
      </c>
      <c r="M96" s="6">
        <f t="shared" ref="M96" si="10" xml:space="preserve"> VALUE( M97 )</f>
        <v>2045</v>
      </c>
      <c r="N96" s="6">
        <f t="shared" ref="N96" si="11" xml:space="preserve"> VALUE( N97 )</f>
        <v>2050</v>
      </c>
      <c r="O96" s="6">
        <f t="shared" ref="O96" si="12" xml:space="preserve"> VALUE( O97 )</f>
        <v>2055</v>
      </c>
      <c r="P96" s="6">
        <f t="shared" ref="P96" si="13" xml:space="preserve"> VALUE( P97 )</f>
        <v>2060</v>
      </c>
      <c r="Q96" s="6">
        <f t="shared" ref="Q96" si="14" xml:space="preserve"> VALUE( Q97 )</f>
        <v>2065</v>
      </c>
      <c r="R96" s="6">
        <f t="shared" ref="R96" si="15" xml:space="preserve"> VALUE( R97 )</f>
        <v>2070</v>
      </c>
      <c r="S96" s="6">
        <f t="shared" ref="S96" si="16" xml:space="preserve"> VALUE( S97 )</f>
        <v>2075</v>
      </c>
      <c r="T96" s="6">
        <f t="shared" ref="T96" si="17" xml:space="preserve"> VALUE( T97 )</f>
        <v>2080</v>
      </c>
      <c r="U96" s="6">
        <f t="shared" ref="U96" si="18" xml:space="preserve"> VALUE( U97 )</f>
        <v>2085</v>
      </c>
      <c r="V96" s="6">
        <f t="shared" ref="V96" si="19" xml:space="preserve"> VALUE( V97 )</f>
        <v>2090</v>
      </c>
    </row>
    <row r="97" spans="2:22" x14ac:dyDescent="0.2">
      <c r="B97" s="6" t="s">
        <v>41</v>
      </c>
      <c r="C97" s="6" t="s">
        <v>71</v>
      </c>
      <c r="D97" s="6" t="s">
        <v>32</v>
      </c>
      <c r="E97" s="6" t="s">
        <v>35</v>
      </c>
      <c r="F97" s="18" t="s">
        <v>42</v>
      </c>
      <c r="G97" s="18" t="s">
        <v>43</v>
      </c>
      <c r="H97" s="18" t="s">
        <v>44</v>
      </c>
      <c r="I97" s="18" t="s">
        <v>45</v>
      </c>
      <c r="J97" s="18" t="s">
        <v>46</v>
      </c>
      <c r="K97" s="18" t="s">
        <v>47</v>
      </c>
      <c r="L97" s="18" t="s">
        <v>48</v>
      </c>
      <c r="M97" s="18" t="s">
        <v>49</v>
      </c>
      <c r="N97" s="18" t="s">
        <v>39</v>
      </c>
      <c r="O97" s="18" t="s">
        <v>50</v>
      </c>
      <c r="P97" s="18" t="s">
        <v>51</v>
      </c>
      <c r="Q97" s="18" t="s">
        <v>52</v>
      </c>
      <c r="R97" s="18" t="s">
        <v>53</v>
      </c>
      <c r="S97" s="18" t="s">
        <v>54</v>
      </c>
      <c r="T97" s="18" t="s">
        <v>55</v>
      </c>
      <c r="U97" s="18" t="s">
        <v>56</v>
      </c>
      <c r="V97" s="18" t="s">
        <v>57</v>
      </c>
    </row>
    <row r="98" spans="2:22" x14ac:dyDescent="0.2">
      <c r="B98" s="8" cm="1">
        <f t="array" ref="B98">ROW(Table21[[#This Row],[Row]]) - ROW(Table21[#Headers])</f>
        <v>1</v>
      </c>
      <c r="C98" s="9" t="str" cm="1">
        <f t="array" ref="C98" xml:space="preserve"> INDEX( list_scenarios, Table21[[#This Row],[Row]] )</f>
        <v/>
      </c>
      <c r="D98" s="6" t="str">
        <f t="shared" ref="D98:D101" si="20" xml:space="preserve"> IF( ISBLANK( $D$32 ), "All", $D$32 )</f>
        <v>Minority</v>
      </c>
      <c r="E98" s="6" t="str">
        <f t="shared" ref="E98:E101" si="21" xml:space="preserve"> IF( ISBLANK( $D$33 ), "", $D$33 )</f>
        <v>CONUS</v>
      </c>
      <c r="F98" s="6" t="str" cm="1">
        <f t="array" ref="F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98" s="6" t="str" cm="1">
        <f t="array" ref="G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98" s="6" t="str" cm="1">
        <f t="array" ref="H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98" s="6" t="str" cm="1">
        <f t="array" ref="I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98" s="6" t="str" cm="1">
        <f t="array" ref="J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98" s="6" t="str" cm="1">
        <f t="array" ref="K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98" s="6" t="str" cm="1">
        <f t="array" ref="L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98" s="6" t="str" cm="1">
        <f t="array" ref="M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98" s="6" t="str" cm="1">
        <f t="array" ref="N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98" s="6" t="str" cm="1">
        <f t="array" ref="O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98" s="6" t="str" cm="1">
        <f t="array" ref="P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98" s="6" t="str" cm="1">
        <f t="array" ref="Q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98" s="6" t="str" cm="1">
        <f t="array" ref="R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98" s="6" t="str" cm="1">
        <f t="array" ref="S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98" s="6" t="str" cm="1">
        <f t="array" ref="T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98" s="6" t="str" cm="1">
        <f t="array" ref="U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98" s="6" t="str" cm="1">
        <f t="array" ref="V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99" spans="2:22" x14ac:dyDescent="0.2">
      <c r="B99" s="8" cm="1">
        <f t="array" ref="B99">ROW(Table21[[#This Row],[Row]]) - ROW(Table21[#Headers])</f>
        <v>2</v>
      </c>
      <c r="C99" s="9" t="str" cm="1">
        <f t="array" ref="C99" xml:space="preserve"> INDEX( list_scenarios, Table21[[#This Row],[Row]] )</f>
        <v/>
      </c>
      <c r="D99" s="6" t="str">
        <f t="shared" si="20"/>
        <v>Minority</v>
      </c>
      <c r="E99" s="6" t="str">
        <f t="shared" si="21"/>
        <v>CONUS</v>
      </c>
      <c r="F99" s="6" t="str" cm="1">
        <f t="array" ref="F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99" s="6" t="str" cm="1">
        <f t="array" ref="G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99" s="6" t="str" cm="1">
        <f t="array" ref="H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99" s="6" t="str" cm="1">
        <f t="array" ref="I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99" s="6" t="str" cm="1">
        <f t="array" ref="J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99" s="6" t="str" cm="1">
        <f t="array" ref="K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99" s="6" t="str" cm="1">
        <f t="array" ref="L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99" s="6" t="str" cm="1">
        <f t="array" ref="M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99" s="6" t="str" cm="1">
        <f t="array" ref="N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99" s="6" t="str" cm="1">
        <f t="array" ref="O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99" s="6" t="str" cm="1">
        <f t="array" ref="P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99" s="6" t="str" cm="1">
        <f t="array" ref="Q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99" s="6" t="str" cm="1">
        <f t="array" ref="R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99" s="6" t="str" cm="1">
        <f t="array" ref="S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99" s="6" t="str" cm="1">
        <f t="array" ref="T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99" s="6" t="str" cm="1">
        <f t="array" ref="U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99" s="6" t="str" cm="1">
        <f t="array" ref="V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0" spans="2:22" x14ac:dyDescent="0.2">
      <c r="B100" s="8" cm="1">
        <f t="array" ref="B100">ROW(Table21[[#This Row],[Row]]) - ROW(Table21[#Headers])</f>
        <v>3</v>
      </c>
      <c r="C100" s="9" t="str" cm="1">
        <f t="array" ref="C100" xml:space="preserve"> INDEX( list_scenarios, Table21[[#This Row],[Row]] )</f>
        <v/>
      </c>
      <c r="D100" s="6" t="str">
        <f t="shared" si="20"/>
        <v>Minority</v>
      </c>
      <c r="E100" s="6" t="str">
        <f t="shared" si="21"/>
        <v>CONUS</v>
      </c>
      <c r="F100" s="6" t="str" cm="1">
        <f t="array" ref="F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0" s="6" t="str" cm="1">
        <f t="array" ref="G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0" s="6" t="str" cm="1">
        <f t="array" ref="H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0" s="6" t="str" cm="1">
        <f t="array" ref="I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0" s="6" t="str" cm="1">
        <f t="array" ref="J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0" s="6" t="str" cm="1">
        <f t="array" ref="K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0" s="6" t="str" cm="1">
        <f t="array" ref="L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0" s="6" t="str" cm="1">
        <f t="array" ref="M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0" s="6" t="str" cm="1">
        <f t="array" ref="N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0" s="6" t="str" cm="1">
        <f t="array" ref="O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0" s="6" t="str" cm="1">
        <f t="array" ref="P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0" s="6" t="str" cm="1">
        <f t="array" ref="Q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0" s="6" t="str" cm="1">
        <f t="array" ref="R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0" s="6" t="str" cm="1">
        <f t="array" ref="S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0" s="6" t="str" cm="1">
        <f t="array" ref="T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0" s="6" t="str" cm="1">
        <f t="array" ref="U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0" s="6" t="str" cm="1">
        <f t="array" ref="V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1" spans="2:22" x14ac:dyDescent="0.2">
      <c r="B101" s="8" cm="1">
        <f t="array" ref="B101">ROW(Table21[[#This Row],[Row]]) - ROW(Table21[#Headers])</f>
        <v>4</v>
      </c>
      <c r="C101" s="9" t="str" cm="1">
        <f t="array" ref="C101" xml:space="preserve"> INDEX( list_scenarios, Table21[[#This Row],[Row]] )</f>
        <v/>
      </c>
      <c r="D101" s="6" t="str">
        <f t="shared" si="20"/>
        <v>Minority</v>
      </c>
      <c r="E101" s="6" t="str">
        <f t="shared" si="21"/>
        <v>CONUS</v>
      </c>
      <c r="F101" s="6" t="str" cm="1">
        <f t="array" ref="F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1" s="6" t="str" cm="1">
        <f t="array" ref="G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1" s="6" t="str" cm="1">
        <f t="array" ref="H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1" s="6" t="str" cm="1">
        <f t="array" ref="I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1" s="6" t="str" cm="1">
        <f t="array" ref="J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1" s="6" t="str" cm="1">
        <f t="array" ref="K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1" s="6" t="str" cm="1">
        <f t="array" ref="L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1" s="6" t="str" cm="1">
        <f t="array" ref="M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1" s="6" t="str" cm="1">
        <f t="array" ref="N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1" s="6" t="str" cm="1">
        <f t="array" ref="O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1" s="6" t="str" cm="1">
        <f t="array" ref="P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1" s="6" t="str" cm="1">
        <f t="array" ref="Q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1" s="6" t="str" cm="1">
        <f t="array" ref="R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1" s="6" t="str" cm="1">
        <f t="array" ref="S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1" s="6" t="str" cm="1">
        <f t="array" ref="T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1" s="6" t="str" cm="1">
        <f t="array" ref="U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1" s="6" t="str" cm="1">
        <f t="array" ref="V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5" spans="2:22" x14ac:dyDescent="0.2">
      <c r="B105" s="6" t="s">
        <v>41</v>
      </c>
      <c r="C105" s="6" t="s">
        <v>74</v>
      </c>
      <c r="D105" s="6" t="s">
        <v>32</v>
      </c>
      <c r="E105" s="6" t="s">
        <v>35</v>
      </c>
      <c r="F105" s="6" t="s">
        <v>38</v>
      </c>
      <c r="G105" s="6" t="s">
        <v>75</v>
      </c>
      <c r="H105" s="6" t="s">
        <v>76</v>
      </c>
      <c r="I105" s="18" t="s">
        <v>244</v>
      </c>
    </row>
    <row r="106" spans="2:22" ht="25.5" x14ac:dyDescent="0.2">
      <c r="B106" s="6" cm="1">
        <f t="array" ref="B106">ROW(Table6[[#This Row],[Row]]) - ROW(Table6[#Headers])</f>
        <v>1</v>
      </c>
      <c r="C106" s="18" t="str">
        <f t="shared" ref="C106:C113" si="22">IF( ISBLANK( $D$59 ), "", $D$59 )</f>
        <v/>
      </c>
      <c r="D106" s="29" t="s">
        <v>59</v>
      </c>
      <c r="E106" s="6" t="str">
        <f t="shared" ref="E106:E113" si="23" xml:space="preserve"> IF( ISBLANK( $D$60 ), "", $D$60 )</f>
        <v>CONUS</v>
      </c>
      <c r="F106" s="6" t="str">
        <f t="shared" ref="F106:F113" si="24" xml:space="preserve"> IF( ISBLANK( $D$61 ), "", $D$61 )</f>
        <v>2050</v>
      </c>
      <c r="G106" s="6" t="str" cm="1">
        <f t="array" ref="G106"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6" s="37" t="str">
        <f xml:space="preserve"> IF( OR( Table6[[#This Row],[Scenario]] = "", Table6[[#This Row],[Region]] = "", Table6[[#This Row],[Year]] = "" ), "",IF(Table6[[#This Row],[Value]]&gt;=0,-0.1,0.1) )</f>
        <v/>
      </c>
      <c r="I106" s="38" t="s">
        <v>248</v>
      </c>
    </row>
    <row r="107" spans="2:22" ht="25.5" x14ac:dyDescent="0.2">
      <c r="B107" s="6" cm="1">
        <f t="array" ref="B107">ROW(Table6[[#This Row],[Row]]) - ROW(Table6[#Headers])</f>
        <v>2</v>
      </c>
      <c r="C107" s="18" t="str">
        <f t="shared" si="22"/>
        <v/>
      </c>
      <c r="D107" s="29" t="s">
        <v>60</v>
      </c>
      <c r="E107" s="6" t="str">
        <f t="shared" si="23"/>
        <v>CONUS</v>
      </c>
      <c r="F107" s="6" t="str">
        <f t="shared" si="24"/>
        <v>2050</v>
      </c>
      <c r="G107" s="6" t="str" cm="1">
        <f t="array" ref="G107"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7" s="37" t="str">
        <f xml:space="preserve"> IF( OR( Table6[[#This Row],[Scenario]] = "", Table6[[#This Row],[Region]] = "", Table6[[#This Row],[Year]] = "" ), "",IF(Table6[[#This Row],[Value]]&gt;=0,-0.1,0.1) )</f>
        <v/>
      </c>
      <c r="I107" s="38" t="s">
        <v>249</v>
      </c>
    </row>
    <row r="108" spans="2:22" x14ac:dyDescent="0.2">
      <c r="B108" s="6" cm="1">
        <f t="array" ref="B108">ROW(Table6[[#This Row],[Row]]) - ROW(Table6[#Headers])</f>
        <v>3</v>
      </c>
      <c r="C108" s="18" t="str">
        <f t="shared" si="22"/>
        <v/>
      </c>
      <c r="D108" s="29" t="s">
        <v>61</v>
      </c>
      <c r="E108" s="6" t="str">
        <f t="shared" si="23"/>
        <v>CONUS</v>
      </c>
      <c r="F108" s="6" t="str">
        <f t="shared" si="24"/>
        <v>2050</v>
      </c>
      <c r="G108" s="6" t="str" cm="1">
        <f t="array" ref="G108"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8" s="37" t="str">
        <f xml:space="preserve"> IF( OR( Table6[[#This Row],[Scenario]] = "", Table6[[#This Row],[Region]] = "", Table6[[#This Row],[Year]] = "" ), "",IF(Table6[[#This Row],[Value]]&gt;=0,-0.1,0.1) )</f>
        <v/>
      </c>
      <c r="I108" s="6" t="s">
        <v>61</v>
      </c>
    </row>
    <row r="109" spans="2:22" x14ac:dyDescent="0.2">
      <c r="B109" s="6" cm="1">
        <f t="array" ref="B109">ROW(Table6[[#This Row],[Row]]) - ROW(Table6[#Headers])</f>
        <v>4</v>
      </c>
      <c r="C109" s="18" t="str">
        <f t="shared" si="22"/>
        <v/>
      </c>
      <c r="D109" s="29" t="s">
        <v>62</v>
      </c>
      <c r="E109" s="6" t="str">
        <f t="shared" si="23"/>
        <v>CONUS</v>
      </c>
      <c r="F109" s="6" t="str">
        <f t="shared" si="24"/>
        <v>2050</v>
      </c>
      <c r="G109" s="6" t="str" cm="1">
        <f t="array" ref="G109"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9" s="37" t="str">
        <f xml:space="preserve"> IF( OR( Table6[[#This Row],[Scenario]] = "", Table6[[#This Row],[Region]] = "", Table6[[#This Row],[Year]] = "" ), "",IF(Table6[[#This Row],[Value]]&gt;=0,-0.1,0.1) )</f>
        <v/>
      </c>
      <c r="I109" s="6" t="s">
        <v>62</v>
      </c>
    </row>
    <row r="110" spans="2:22" ht="25.5" x14ac:dyDescent="0.2">
      <c r="B110" s="6" cm="1">
        <f t="array" ref="B110">ROW(Table6[[#This Row],[Row]]) - ROW(Table6[#Headers])</f>
        <v>5</v>
      </c>
      <c r="C110" s="18" t="str">
        <f t="shared" si="22"/>
        <v/>
      </c>
      <c r="D110" s="29" t="s">
        <v>63</v>
      </c>
      <c r="E110" s="6" t="str">
        <f t="shared" si="23"/>
        <v>CONUS</v>
      </c>
      <c r="F110" s="6" t="str">
        <f t="shared" si="24"/>
        <v>2050</v>
      </c>
      <c r="G110" s="6" t="str" cm="1">
        <f t="array" ref="G110"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0" s="37" t="str">
        <f xml:space="preserve"> IF( OR( Table6[[#This Row],[Scenario]] = "", Table6[[#This Row],[Region]] = "", Table6[[#This Row],[Year]] = "" ), "",IF(Table6[[#This Row],[Value]]&gt;=0,-0.1,0.1) )</f>
        <v/>
      </c>
      <c r="I110" s="38" t="s">
        <v>245</v>
      </c>
    </row>
    <row r="111" spans="2:22" ht="25.5" x14ac:dyDescent="0.2">
      <c r="B111" s="6" cm="1">
        <f t="array" ref="B111">ROW(Table6[[#This Row],[Row]]) - ROW(Table6[#Headers])</f>
        <v>6</v>
      </c>
      <c r="C111" s="18" t="str">
        <f t="shared" si="22"/>
        <v/>
      </c>
      <c r="D111" s="29" t="s">
        <v>64</v>
      </c>
      <c r="E111" s="6" t="str">
        <f t="shared" si="23"/>
        <v>CONUS</v>
      </c>
      <c r="F111" s="6" t="str">
        <f t="shared" si="24"/>
        <v>2050</v>
      </c>
      <c r="G111" s="6" t="str" cm="1">
        <f t="array" ref="G11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1" s="37" t="str">
        <f xml:space="preserve"> IF( OR( Table6[[#This Row],[Scenario]] = "", Table6[[#This Row],[Region]] = "", Table6[[#This Row],[Year]] = "" ), "",IF(Table6[[#This Row],[Value]]&gt;=0,-0.1,0.1) )</f>
        <v/>
      </c>
      <c r="I111" s="38" t="s">
        <v>247</v>
      </c>
    </row>
    <row r="112" spans="2:22" x14ac:dyDescent="0.2">
      <c r="B112" s="6" cm="1">
        <f t="array" ref="B112">ROW(Table6[[#This Row],[Row]]) - ROW(Table6[#Headers])</f>
        <v>7</v>
      </c>
      <c r="C112" s="18" t="str">
        <f>IF( ISBLANK( $D$59 ), "", $D$59 )</f>
        <v/>
      </c>
      <c r="D112" s="29" t="s">
        <v>65</v>
      </c>
      <c r="E112" s="6" t="str">
        <f t="shared" si="23"/>
        <v>CONUS</v>
      </c>
      <c r="F112" s="6" t="str">
        <f t="shared" si="24"/>
        <v>2050</v>
      </c>
      <c r="G112" s="6" t="str" cm="1">
        <f t="array" ref="G112"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2" s="37" t="str">
        <f xml:space="preserve"> IF( OR( Table6[[#This Row],[Scenario]] = "", Table6[[#This Row],[Region]] = "", Table6[[#This Row],[Year]] = "" ), "",IF(Table6[[#This Row],[Value]]&gt;=0,-0.1,0.1) )</f>
        <v/>
      </c>
      <c r="I112" s="6" t="s">
        <v>65</v>
      </c>
    </row>
    <row r="113" spans="2:10" ht="25.5" x14ac:dyDescent="0.2">
      <c r="B113" s="6" cm="1">
        <f t="array" ref="B113">ROW(Table6[[#This Row],[Row]]) - ROW(Table6[#Headers])</f>
        <v>8</v>
      </c>
      <c r="C113" s="18" t="str">
        <f t="shared" si="22"/>
        <v/>
      </c>
      <c r="D113" s="30" t="s">
        <v>66</v>
      </c>
      <c r="E113" s="6" t="str">
        <f t="shared" si="23"/>
        <v>CONUS</v>
      </c>
      <c r="F113" s="6" t="str">
        <f t="shared" si="24"/>
        <v>2050</v>
      </c>
      <c r="G113" s="6" t="str" cm="1">
        <f t="array" ref="G113"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3" s="37" t="str">
        <f xml:space="preserve"> IF( OR( Table6[[#This Row],[Scenario]] = "", Table6[[#This Row],[Region]] = "", Table6[[#This Row],[Year]] = "" ), "",IF(Table6[[#This Row],[Value]]&gt;=0,-0.1,0.1) )</f>
        <v/>
      </c>
      <c r="I113" s="38" t="s">
        <v>246</v>
      </c>
    </row>
    <row r="117" spans="2:10" x14ac:dyDescent="0.2">
      <c r="B117" s="6" t="s">
        <v>41</v>
      </c>
      <c r="C117" s="6" t="s">
        <v>81</v>
      </c>
      <c r="D117" s="6" t="s">
        <v>37</v>
      </c>
      <c r="E117" s="6" t="s">
        <v>32</v>
      </c>
      <c r="F117" s="6" t="s">
        <v>35</v>
      </c>
      <c r="G117" s="6" t="s">
        <v>38</v>
      </c>
      <c r="H117" s="6" t="s">
        <v>75</v>
      </c>
      <c r="I117" s="6" t="s">
        <v>76</v>
      </c>
      <c r="J117" s="18" t="s">
        <v>244</v>
      </c>
    </row>
    <row r="118" spans="2:10" ht="25.5" x14ac:dyDescent="0.2">
      <c r="B118" s="6" cm="1">
        <f t="array" ref="B118">ROW(Table62627[[#This Row],[Row]]) - ROW(Table62627[#Headers])</f>
        <v>1</v>
      </c>
      <c r="C118" s="18" t="str">
        <f t="shared" ref="C118:C125" si="25">IF( ISBLANK( $H$59 ), "", $H$59 )</f>
        <v/>
      </c>
      <c r="D118" s="18" t="str">
        <f t="shared" ref="D118:D125" si="26">IF( ISBLANK( $H$60 ), "", $H$60 )</f>
        <v/>
      </c>
      <c r="E118" s="29" t="s">
        <v>59</v>
      </c>
      <c r="F118" s="6" t="str">
        <f t="shared" ref="F118:F125" si="27" xml:space="preserve"> IF( ISBLANK( $H$61 ), "", $H$61 )</f>
        <v>CONUS</v>
      </c>
      <c r="G118" s="6" t="str">
        <f t="shared" ref="G118:G125" si="28" xml:space="preserve"> IF( ISBLANK( $H$62 ), "", $H$62 )</f>
        <v>2050</v>
      </c>
      <c r="H118" s="6" t="str" cm="1">
        <f t="array" ref="H118"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18" s="37" t="str">
        <f xml:space="preserve"> IF( OR(Table62627[[#This Row],[Reference Emissions Scenario]]="", Table62627[[#This Row],[Scenario to Compare]] = "", Table62627[[#This Row],[Region]] = "", Table62627[[#This Row],[Year]] = "" ), "",IF(Table62627[[#This Row],[Value]]&gt;=0,-0.1,0.1) )</f>
        <v/>
      </c>
      <c r="J118" s="38" t="s">
        <v>248</v>
      </c>
    </row>
    <row r="119" spans="2:10" ht="25.5" x14ac:dyDescent="0.2">
      <c r="B119" s="6" cm="1">
        <f t="array" ref="B119">ROW(Table62627[[#This Row],[Row]]) - ROW(Table62627[#Headers])</f>
        <v>2</v>
      </c>
      <c r="C119" s="18" t="str">
        <f t="shared" si="25"/>
        <v/>
      </c>
      <c r="D119" s="18" t="str">
        <f t="shared" si="26"/>
        <v/>
      </c>
      <c r="E119" s="29" t="s">
        <v>60</v>
      </c>
      <c r="F119" s="6" t="str">
        <f t="shared" si="27"/>
        <v>CONUS</v>
      </c>
      <c r="G119" s="6" t="str">
        <f t="shared" si="28"/>
        <v>2050</v>
      </c>
      <c r="H119" s="6" t="str" cm="1">
        <f t="array" ref="H119"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19" s="37" t="str">
        <f xml:space="preserve"> IF( OR(Table62627[[#This Row],[Reference Emissions Scenario]]="", Table62627[[#This Row],[Scenario to Compare]] = "", Table62627[[#This Row],[Region]] = "", Table62627[[#This Row],[Year]] = "" ), "",IF(Table62627[[#This Row],[Value]]&gt;=0,-0.1,0.1) )</f>
        <v/>
      </c>
      <c r="J119" s="38" t="s">
        <v>249</v>
      </c>
    </row>
    <row r="120" spans="2:10" x14ac:dyDescent="0.2">
      <c r="B120" s="6" cm="1">
        <f t="array" ref="B120">ROW(Table62627[[#This Row],[Row]]) - ROW(Table62627[#Headers])</f>
        <v>3</v>
      </c>
      <c r="C120" s="18" t="str">
        <f t="shared" si="25"/>
        <v/>
      </c>
      <c r="D120" s="18" t="str">
        <f t="shared" si="26"/>
        <v/>
      </c>
      <c r="E120" s="29" t="s">
        <v>61</v>
      </c>
      <c r="F120" s="6" t="str">
        <f t="shared" si="27"/>
        <v>CONUS</v>
      </c>
      <c r="G120" s="6" t="str">
        <f t="shared" si="28"/>
        <v>2050</v>
      </c>
      <c r="H120" s="6" t="str" cm="1">
        <f t="array" ref="H120"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0" s="37" t="str">
        <f xml:space="preserve"> IF( OR(Table62627[[#This Row],[Reference Emissions Scenario]]="", Table62627[[#This Row],[Scenario to Compare]] = "", Table62627[[#This Row],[Region]] = "", Table62627[[#This Row],[Year]] = "" ), "",IF(Table62627[[#This Row],[Value]]&gt;=0,-0.1,0.1) )</f>
        <v/>
      </c>
      <c r="J120" s="6" t="s">
        <v>61</v>
      </c>
    </row>
    <row r="121" spans="2:10" x14ac:dyDescent="0.2">
      <c r="B121" s="6" cm="1">
        <f t="array" ref="B121">ROW(Table62627[[#This Row],[Row]]) - ROW(Table62627[#Headers])</f>
        <v>4</v>
      </c>
      <c r="C121" s="18" t="str">
        <f t="shared" si="25"/>
        <v/>
      </c>
      <c r="D121" s="18" t="str">
        <f t="shared" si="26"/>
        <v/>
      </c>
      <c r="E121" s="29" t="s">
        <v>62</v>
      </c>
      <c r="F121" s="6" t="str">
        <f t="shared" si="27"/>
        <v>CONUS</v>
      </c>
      <c r="G121" s="6" t="str">
        <f t="shared" si="28"/>
        <v>2050</v>
      </c>
      <c r="H121" s="6" t="str" cm="1">
        <f t="array" ref="H12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1" s="37" t="str">
        <f xml:space="preserve"> IF( OR(Table62627[[#This Row],[Reference Emissions Scenario]]="", Table62627[[#This Row],[Scenario to Compare]] = "", Table62627[[#This Row],[Region]] = "", Table62627[[#This Row],[Year]] = "" ), "",IF(Table62627[[#This Row],[Value]]&gt;=0,-0.1,0.1) )</f>
        <v/>
      </c>
      <c r="J121" s="6" t="s">
        <v>62</v>
      </c>
    </row>
    <row r="122" spans="2:10" ht="25.5" x14ac:dyDescent="0.2">
      <c r="B122" s="6" cm="1">
        <f t="array" ref="B122">ROW(Table62627[[#This Row],[Row]]) - ROW(Table62627[#Headers])</f>
        <v>5</v>
      </c>
      <c r="C122" s="18" t="str">
        <f t="shared" si="25"/>
        <v/>
      </c>
      <c r="D122" s="18" t="str">
        <f t="shared" si="26"/>
        <v/>
      </c>
      <c r="E122" s="29" t="s">
        <v>63</v>
      </c>
      <c r="F122" s="6" t="str">
        <f t="shared" si="27"/>
        <v>CONUS</v>
      </c>
      <c r="G122" s="6" t="str">
        <f t="shared" si="28"/>
        <v>2050</v>
      </c>
      <c r="H122" s="6" t="str" cm="1">
        <f t="array" ref="H122"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2" s="37" t="str">
        <f xml:space="preserve"> IF( OR(Table62627[[#This Row],[Reference Emissions Scenario]]="", Table62627[[#This Row],[Scenario to Compare]] = "", Table62627[[#This Row],[Region]] = "", Table62627[[#This Row],[Year]] = "" ), "",IF(Table62627[[#This Row],[Value]]&gt;=0,-0.1,0.1) )</f>
        <v/>
      </c>
      <c r="J122" s="38" t="s">
        <v>245</v>
      </c>
    </row>
    <row r="123" spans="2:10" ht="25.5" x14ac:dyDescent="0.2">
      <c r="B123" s="6" cm="1">
        <f t="array" ref="B123">ROW(Table62627[[#This Row],[Row]]) - ROW(Table62627[#Headers])</f>
        <v>6</v>
      </c>
      <c r="C123" s="18" t="str">
        <f t="shared" si="25"/>
        <v/>
      </c>
      <c r="D123" s="18" t="str">
        <f t="shared" si="26"/>
        <v/>
      </c>
      <c r="E123" s="29" t="s">
        <v>64</v>
      </c>
      <c r="F123" s="6" t="str">
        <f t="shared" si="27"/>
        <v>CONUS</v>
      </c>
      <c r="G123" s="6" t="str">
        <f t="shared" si="28"/>
        <v>2050</v>
      </c>
      <c r="H123" s="6" t="str" cm="1">
        <f t="array" ref="H123"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3" s="37" t="str">
        <f xml:space="preserve"> IF( OR(Table62627[[#This Row],[Reference Emissions Scenario]]="", Table62627[[#This Row],[Scenario to Compare]] = "", Table62627[[#This Row],[Region]] = "", Table62627[[#This Row],[Year]] = "" ), "",IF(Table62627[[#This Row],[Value]]&gt;=0,-0.1,0.1) )</f>
        <v/>
      </c>
      <c r="J123" s="38" t="s">
        <v>247</v>
      </c>
    </row>
    <row r="124" spans="2:10" x14ac:dyDescent="0.2">
      <c r="B124" s="6" cm="1">
        <f t="array" ref="B124">ROW(Table62627[[#This Row],[Row]]) - ROW(Table62627[#Headers])</f>
        <v>7</v>
      </c>
      <c r="C124" s="18" t="str">
        <f t="shared" si="25"/>
        <v/>
      </c>
      <c r="D124" s="18" t="str">
        <f t="shared" si="26"/>
        <v/>
      </c>
      <c r="E124" s="29" t="s">
        <v>65</v>
      </c>
      <c r="F124" s="6" t="str">
        <f t="shared" si="27"/>
        <v>CONUS</v>
      </c>
      <c r="G124" s="6" t="str">
        <f t="shared" si="28"/>
        <v>2050</v>
      </c>
      <c r="H124" s="6" t="str" cm="1">
        <f t="array" ref="H124"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4" s="37" t="str">
        <f xml:space="preserve"> IF( OR(Table62627[[#This Row],[Reference Emissions Scenario]]="", Table62627[[#This Row],[Scenario to Compare]] = "", Table62627[[#This Row],[Region]] = "", Table62627[[#This Row],[Year]] = "" ), "",IF(Table62627[[#This Row],[Value]]&gt;=0,-0.1,0.1) )</f>
        <v/>
      </c>
      <c r="J124" s="6" t="s">
        <v>65</v>
      </c>
    </row>
    <row r="125" spans="2:10" ht="25.5" x14ac:dyDescent="0.2">
      <c r="B125" s="6" cm="1">
        <f t="array" ref="B125">ROW(Table62627[[#This Row],[Row]]) - ROW(Table62627[#Headers])</f>
        <v>8</v>
      </c>
      <c r="C125" s="18" t="str">
        <f t="shared" si="25"/>
        <v/>
      </c>
      <c r="D125" s="18" t="str">
        <f t="shared" si="26"/>
        <v/>
      </c>
      <c r="E125" s="30" t="s">
        <v>66</v>
      </c>
      <c r="F125" s="6" t="str">
        <f t="shared" si="27"/>
        <v>CONUS</v>
      </c>
      <c r="G125" s="6" t="str">
        <f t="shared" si="28"/>
        <v>2050</v>
      </c>
      <c r="H125" s="6" t="str" cm="1">
        <f t="array" ref="H125"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5" s="37" t="str">
        <f xml:space="preserve"> IF( OR(Table62627[[#This Row],[Reference Emissions Scenario]]="", Table62627[[#This Row],[Scenario to Compare]] = "", Table62627[[#This Row],[Region]] = "", Table62627[[#This Row],[Year]] = "" ), "",IF(Table62627[[#This Row],[Value]]&gt;=0,-0.1,0.1) )</f>
        <v/>
      </c>
      <c r="J125" s="38" t="s">
        <v>246</v>
      </c>
    </row>
  </sheetData>
  <phoneticPr fontId="3" type="noConversion"/>
  <dataValidations count="5">
    <dataValidation type="list" allowBlank="1" showInputMessage="1" showErrorMessage="1" sqref="D32 D2" xr:uid="{027098FF-A869-4A9B-827B-39B00C8CCCB9}">
      <formula1>list_svGroups</formula1>
    </dataValidation>
    <dataValidation type="list" allowBlank="1" showInputMessage="1" showErrorMessage="1" sqref="D3:D4 D59 H59:H60" xr:uid="{D82B6E28-A305-4773-A97C-E0F687DAEC2B}">
      <formula1>list_scenarios</formula1>
    </dataValidation>
    <dataValidation type="list" allowBlank="1" showInputMessage="1" showErrorMessage="1" sqref="D33 D5 D60 H61" xr:uid="{74FEDE80-3024-44F8-ADBD-E79902009C51}">
      <formula1>list_regions</formula1>
    </dataValidation>
    <dataValidation type="list" allowBlank="1" showInputMessage="1" showErrorMessage="1" sqref="D60:D61 H61:H62" xr:uid="{9F31FC1D-5238-4F9E-B665-7521602B5223}">
      <formula1>list_years</formula1>
    </dataValidation>
    <dataValidation type="list" allowBlank="1" showInputMessage="1" showErrorMessage="1" sqref="D60 H61" xr:uid="{DA439F5A-A369-490B-9863-27602D014BBF}">
      <formula1 xml:space="preserve"> list_scenarios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8058-9391-430D-9ACE-2148D722571B}">
  <sheetPr>
    <tabColor theme="8" tint="-0.249977111117893"/>
  </sheetPr>
  <dimension ref="A1:Q9078"/>
  <sheetViews>
    <sheetView workbookViewId="0">
      <selection activeCell="K8" sqref="K8"/>
    </sheetView>
  </sheetViews>
  <sheetFormatPr defaultColWidth="11.42578125" defaultRowHeight="15" x14ac:dyDescent="0.25"/>
  <cols>
    <col min="1" max="9" width="19" customWidth="1"/>
    <col min="10" max="13" width="25.7109375" customWidth="1"/>
    <col min="14" max="17" width="19" customWidth="1"/>
  </cols>
  <sheetData>
    <row r="1" spans="1:17" x14ac:dyDescent="0.25">
      <c r="A1" t="s">
        <v>82</v>
      </c>
      <c r="B1" t="s">
        <v>83</v>
      </c>
      <c r="C1" t="s">
        <v>84</v>
      </c>
      <c r="D1" t="s">
        <v>85</v>
      </c>
      <c r="E1" t="s">
        <v>86</v>
      </c>
      <c r="F1" t="s">
        <v>87</v>
      </c>
      <c r="G1" t="s">
        <v>88</v>
      </c>
      <c r="H1" t="s">
        <v>89</v>
      </c>
      <c r="I1" t="s">
        <v>90</v>
      </c>
      <c r="J1" t="s">
        <v>92</v>
      </c>
      <c r="K1" t="s">
        <v>91</v>
      </c>
      <c r="L1" t="s">
        <v>94</v>
      </c>
      <c r="M1" t="s">
        <v>93</v>
      </c>
      <c r="N1" t="s">
        <v>96</v>
      </c>
      <c r="O1" t="s">
        <v>95</v>
      </c>
      <c r="P1" t="s">
        <v>97</v>
      </c>
      <c r="Q1" t="s">
        <v>98</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55E7-E800-427B-9F40-B9802256615F}">
  <sheetPr>
    <tabColor theme="8" tint="-0.249977111117893"/>
  </sheetPr>
  <dimension ref="A1:Q9078"/>
  <sheetViews>
    <sheetView topLeftCell="F1" workbookViewId="0">
      <selection activeCell="L17" sqref="L17"/>
    </sheetView>
  </sheetViews>
  <sheetFormatPr defaultColWidth="11.42578125" defaultRowHeight="15" x14ac:dyDescent="0.25"/>
  <cols>
    <col min="1" max="9" width="19" customWidth="1"/>
    <col min="10" max="13" width="25.7109375" customWidth="1"/>
    <col min="14" max="17" width="19" customWidth="1"/>
  </cols>
  <sheetData>
    <row r="1" spans="1:17" x14ac:dyDescent="0.25">
      <c r="A1" t="s">
        <v>82</v>
      </c>
      <c r="B1" t="s">
        <v>83</v>
      </c>
      <c r="C1" t="s">
        <v>84</v>
      </c>
      <c r="D1" t="s">
        <v>85</v>
      </c>
      <c r="E1" t="s">
        <v>86</v>
      </c>
      <c r="F1" t="s">
        <v>87</v>
      </c>
      <c r="G1" t="s">
        <v>88</v>
      </c>
      <c r="H1" t="s">
        <v>89</v>
      </c>
      <c r="I1" t="s">
        <v>90</v>
      </c>
      <c r="J1" t="s">
        <v>92</v>
      </c>
      <c r="K1" t="s">
        <v>91</v>
      </c>
      <c r="L1" t="s">
        <v>94</v>
      </c>
      <c r="M1" t="s">
        <v>93</v>
      </c>
      <c r="N1" t="s">
        <v>96</v>
      </c>
      <c r="O1" t="s">
        <v>95</v>
      </c>
      <c r="P1" t="s">
        <v>97</v>
      </c>
      <c r="Q1" t="s">
        <v>98</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1041-654C-47FA-AE37-824ECF220D64}">
  <sheetPr codeName="Sheet6">
    <tabColor theme="1" tint="0.14999847407452621"/>
  </sheetPr>
  <dimension ref="B3:N158"/>
  <sheetViews>
    <sheetView workbookViewId="0">
      <selection activeCell="E10" sqref="E10"/>
    </sheetView>
  </sheetViews>
  <sheetFormatPr defaultRowHeight="12.75" x14ac:dyDescent="0.2"/>
  <cols>
    <col min="1" max="1" width="9.140625" style="6"/>
    <col min="2" max="2" width="9" style="6" customWidth="1"/>
    <col min="3" max="3" width="27.5703125" style="6" bestFit="1" customWidth="1"/>
    <col min="4" max="4" width="30.85546875" style="6" bestFit="1" customWidth="1"/>
    <col min="5" max="5" width="64.42578125" style="6" bestFit="1" customWidth="1"/>
    <col min="6" max="11" width="20.85546875" style="6" customWidth="1"/>
    <col min="12" max="16" width="33" style="6" customWidth="1"/>
    <col min="17" max="16384" width="9.140625" style="6"/>
  </cols>
  <sheetData>
    <row r="3" spans="2:14" x14ac:dyDescent="0.2">
      <c r="B3" s="6" t="s">
        <v>99</v>
      </c>
    </row>
    <row r="4" spans="2:14" x14ac:dyDescent="0.2">
      <c r="B4" s="6" t="s">
        <v>100</v>
      </c>
      <c r="C4" s="6" t="s">
        <v>101</v>
      </c>
      <c r="D4" s="6" t="s">
        <v>102</v>
      </c>
      <c r="E4" s="6" t="s">
        <v>103</v>
      </c>
      <c r="F4" s="6" t="s">
        <v>104</v>
      </c>
      <c r="G4" s="6" t="s">
        <v>105</v>
      </c>
      <c r="H4" s="6" t="s">
        <v>106</v>
      </c>
      <c r="I4" s="6" t="s">
        <v>107</v>
      </c>
      <c r="J4" s="7" t="s">
        <v>108</v>
      </c>
      <c r="K4" s="6" t="s">
        <v>109</v>
      </c>
      <c r="L4" s="6" t="s">
        <v>110</v>
      </c>
      <c r="M4" s="6" t="s">
        <v>239</v>
      </c>
      <c r="N4" s="6" t="s">
        <v>242</v>
      </c>
    </row>
    <row r="5" spans="2:14" x14ac:dyDescent="0.2">
      <c r="B5" s="31">
        <f xml:space="preserve"> ROW( co_sectorInfo[[#This Row],[ID]] ) - ROW( co_sectorInfo[[#Headers],[ID]] )</f>
        <v>1</v>
      </c>
      <c r="C5" s="9" t="s">
        <v>233</v>
      </c>
      <c r="D5" s="9" t="s">
        <v>235</v>
      </c>
      <c r="E5" s="9" t="s">
        <v>111</v>
      </c>
      <c r="F5" s="9" t="s">
        <v>112</v>
      </c>
      <c r="G5" s="9" t="s">
        <v>113</v>
      </c>
      <c r="H5" s="9" t="s">
        <v>114</v>
      </c>
      <c r="I5" s="9">
        <f xml:space="preserve"> 10^5</f>
        <v>100000</v>
      </c>
      <c r="J5" s="10" t="s">
        <v>115</v>
      </c>
      <c r="K5" s="9" t="s">
        <v>116</v>
      </c>
      <c r="L5" s="9" t="str">
        <f xml:space="preserve"> INDEX( co_modelTypes[driverUnit_label], MATCH( co_sectorInfo[[#This Row],[modelType]], co_modelTypes[modelType], 0 ) )</f>
        <v>degrees Celsius</v>
      </c>
      <c r="M5" s="9" t="s">
        <v>241</v>
      </c>
      <c r="N5" s="9" t="s">
        <v>111</v>
      </c>
    </row>
    <row r="6" spans="2:14" x14ac:dyDescent="0.2">
      <c r="B6" s="35">
        <f xml:space="preserve"> ROW( co_sectorInfo[[#This Row],[ID]] ) - ROW( co_sectorInfo[[#Headers],[ID]] )</f>
        <v>2</v>
      </c>
      <c r="C6" s="9" t="s">
        <v>234</v>
      </c>
      <c r="D6" s="9" t="s">
        <v>236</v>
      </c>
      <c r="E6" s="9" t="s">
        <v>126</v>
      </c>
      <c r="F6" s="9" t="s">
        <v>127</v>
      </c>
      <c r="G6" s="9" t="s">
        <v>164</v>
      </c>
      <c r="H6" s="9" t="s">
        <v>30</v>
      </c>
      <c r="I6" s="9">
        <f xml:space="preserve"> 10^5</f>
        <v>100000</v>
      </c>
      <c r="J6" s="10" t="s">
        <v>115</v>
      </c>
      <c r="K6" s="9" t="s">
        <v>116</v>
      </c>
      <c r="L6" s="9" t="str">
        <f xml:space="preserve"> INDEX( co_modelTypes[driverUnit_label], MATCH( co_sectorInfo[[#This Row],[modelType]], co_modelTypes[modelType], 0 ) )</f>
        <v>degrees Celsius</v>
      </c>
      <c r="M6" s="9" t="s">
        <v>240</v>
      </c>
      <c r="N6" s="9" t="s">
        <v>126</v>
      </c>
    </row>
    <row r="7" spans="2:14" x14ac:dyDescent="0.2">
      <c r="B7" s="31">
        <f xml:space="preserve"> ROW( co_sectorInfo[[#This Row],[ID]] ) - ROW( co_sectorInfo[[#Headers],[ID]] )</f>
        <v>3</v>
      </c>
      <c r="C7" s="9" t="s">
        <v>117</v>
      </c>
      <c r="D7" s="9" t="s">
        <v>118</v>
      </c>
      <c r="E7" s="9" t="s">
        <v>119</v>
      </c>
      <c r="F7" s="9" t="s">
        <v>120</v>
      </c>
      <c r="G7" s="9" t="s">
        <v>121</v>
      </c>
      <c r="H7" s="9" t="s">
        <v>122</v>
      </c>
      <c r="I7" s="9">
        <v>1</v>
      </c>
      <c r="J7" s="10" t="s">
        <v>123</v>
      </c>
      <c r="K7" s="9" t="s">
        <v>116</v>
      </c>
      <c r="L7" s="9" t="str">
        <f xml:space="preserve"> INDEX( co_modelTypes[driverUnit_label], MATCH( co_sectorInfo[[#This Row],[modelType]], co_modelTypes[modelType], 0 ) )</f>
        <v>degrees Celsius</v>
      </c>
      <c r="M7" s="9"/>
      <c r="N7" s="9" t="s">
        <v>119</v>
      </c>
    </row>
    <row r="8" spans="2:14" x14ac:dyDescent="0.2">
      <c r="B8" s="31">
        <f xml:space="preserve"> ROW( co_sectorInfo[[#This Row],[ID]] ) - ROW( co_sectorInfo[[#Headers],[ID]] )</f>
        <v>4</v>
      </c>
      <c r="C8" s="9" t="s">
        <v>124</v>
      </c>
      <c r="D8" s="9" t="s">
        <v>125</v>
      </c>
      <c r="E8" s="9" t="s">
        <v>126</v>
      </c>
      <c r="F8" s="9" t="s">
        <v>127</v>
      </c>
      <c r="G8" s="9" t="s">
        <v>128</v>
      </c>
      <c r="H8" s="9" t="s">
        <v>128</v>
      </c>
      <c r="I8" s="9">
        <f xml:space="preserve"> 10^5</f>
        <v>100000</v>
      </c>
      <c r="J8" s="10" t="s">
        <v>115</v>
      </c>
      <c r="K8" s="9" t="s">
        <v>116</v>
      </c>
      <c r="L8" s="9" t="str">
        <f xml:space="preserve"> INDEX( co_modelTypes[driverUnit_label], MATCH( co_sectorInfo[[#This Row],[modelType]], co_modelTypes[modelType], 0 ) )</f>
        <v>degrees Celsius</v>
      </c>
      <c r="M8" s="9"/>
      <c r="N8" s="9" t="s">
        <v>126</v>
      </c>
    </row>
    <row r="9" spans="2:14" x14ac:dyDescent="0.2">
      <c r="B9" s="31">
        <f xml:space="preserve"> ROW( co_sectorInfo[[#This Row],[ID]] ) - ROW( co_sectorInfo[[#Headers],[ID]] )</f>
        <v>5</v>
      </c>
      <c r="C9" s="9" t="s">
        <v>129</v>
      </c>
      <c r="D9" s="9" t="s">
        <v>130</v>
      </c>
      <c r="E9" s="9" t="s">
        <v>131</v>
      </c>
      <c r="F9" s="9" t="s">
        <v>132</v>
      </c>
      <c r="G9" s="9" t="s">
        <v>128</v>
      </c>
      <c r="H9" s="9" t="s">
        <v>128</v>
      </c>
      <c r="I9" s="9">
        <v>1</v>
      </c>
      <c r="J9" s="10" t="s">
        <v>123</v>
      </c>
      <c r="K9" s="9" t="s">
        <v>116</v>
      </c>
      <c r="L9" s="9" t="str">
        <f xml:space="preserve"> INDEX( co_modelTypes[driverUnit_label], MATCH( co_sectorInfo[[#This Row],[modelType]], co_modelTypes[modelType], 0 ) )</f>
        <v>degrees Celsius</v>
      </c>
      <c r="M9" s="9"/>
      <c r="N9" s="9" t="s">
        <v>243</v>
      </c>
    </row>
    <row r="10" spans="2:14" x14ac:dyDescent="0.2">
      <c r="B10" s="31">
        <f xml:space="preserve"> ROW( co_sectorInfo[[#This Row],[ID]] ) - ROW( co_sectorInfo[[#Headers],[ID]] )</f>
        <v>6</v>
      </c>
      <c r="C10" s="9" t="s">
        <v>133</v>
      </c>
      <c r="D10" s="9" t="s">
        <v>134</v>
      </c>
      <c r="E10" s="9" t="s">
        <v>131</v>
      </c>
      <c r="F10" s="9" t="s">
        <v>132</v>
      </c>
      <c r="G10" s="9" t="s">
        <v>128</v>
      </c>
      <c r="H10" s="9" t="s">
        <v>128</v>
      </c>
      <c r="I10" s="9">
        <v>1</v>
      </c>
      <c r="J10" s="10" t="s">
        <v>123</v>
      </c>
      <c r="K10" s="9" t="s">
        <v>135</v>
      </c>
      <c r="L10" s="9" t="str">
        <f xml:space="preserve"> INDEX( co_modelTypes[driverUnit_label], MATCH( co_sectorInfo[[#This Row],[modelType]], co_modelTypes[modelType], 0 ) )</f>
        <v>cm</v>
      </c>
      <c r="M10" s="9"/>
      <c r="N10" s="9" t="s">
        <v>243</v>
      </c>
    </row>
    <row r="11" spans="2:14" x14ac:dyDescent="0.2">
      <c r="B11" s="31">
        <f xml:space="preserve"> ROW( co_sectorInfo[[#This Row],[ID]] ) - ROW( co_sectorInfo[[#Headers],[ID]] )</f>
        <v>7</v>
      </c>
      <c r="C11" s="9" t="s">
        <v>136</v>
      </c>
      <c r="D11" s="9" t="s">
        <v>137</v>
      </c>
      <c r="E11" s="9" t="s">
        <v>231</v>
      </c>
      <c r="F11" s="9" t="s">
        <v>232</v>
      </c>
      <c r="G11" s="9" t="s">
        <v>128</v>
      </c>
      <c r="H11" s="9" t="s">
        <v>128</v>
      </c>
      <c r="I11" s="9">
        <v>100000</v>
      </c>
      <c r="J11" s="10" t="s">
        <v>115</v>
      </c>
      <c r="K11" s="9" t="s">
        <v>135</v>
      </c>
      <c r="L11" s="9" t="str">
        <f xml:space="preserve"> INDEX( co_modelTypes[driverUnit_label], MATCH( co_sectorInfo[[#This Row],[modelType]], co_modelTypes[modelType], 0 ) )</f>
        <v>cm</v>
      </c>
      <c r="M11" s="9"/>
      <c r="N11" s="9" t="s">
        <v>231</v>
      </c>
    </row>
    <row r="14" spans="2:14" x14ac:dyDescent="0.2">
      <c r="B14" s="6" t="s">
        <v>138</v>
      </c>
    </row>
    <row r="15" spans="2:14" x14ac:dyDescent="0.2">
      <c r="B15" s="6" t="s">
        <v>100</v>
      </c>
      <c r="C15" s="6" t="s">
        <v>102</v>
      </c>
      <c r="D15" s="6" t="s">
        <v>139</v>
      </c>
      <c r="E15" s="6" t="s">
        <v>140</v>
      </c>
    </row>
    <row r="16" spans="2:14" x14ac:dyDescent="0.2">
      <c r="B16" s="31">
        <f xml:space="preserve"> ROW( coVariants[[#This Row],[ID]] ) - ROW( coVariants[[#Headers],[ID]] )</f>
        <v>1</v>
      </c>
      <c r="C16" s="9" t="s">
        <v>235</v>
      </c>
      <c r="D16" s="9" t="s">
        <v>5</v>
      </c>
      <c r="E16" s="9" t="s">
        <v>141</v>
      </c>
    </row>
    <row r="17" spans="2:5" x14ac:dyDescent="0.2">
      <c r="B17" s="35">
        <f xml:space="preserve"> ROW( coVariants[[#This Row],[ID]] ) - ROW( coVariants[[#Headers],[ID]] )</f>
        <v>2</v>
      </c>
      <c r="C17" s="9" t="s">
        <v>236</v>
      </c>
      <c r="D17" s="9" t="s">
        <v>5</v>
      </c>
      <c r="E17" s="9" t="s">
        <v>141</v>
      </c>
    </row>
    <row r="18" spans="2:5" x14ac:dyDescent="0.2">
      <c r="B18" s="31">
        <f xml:space="preserve"> ROW( coVariants[[#This Row],[ID]] ) - ROW( coVariants[[#Headers],[ID]] )</f>
        <v>3</v>
      </c>
      <c r="C18" s="9" t="s">
        <v>118</v>
      </c>
      <c r="D18" s="9" t="s">
        <v>5</v>
      </c>
      <c r="E18" s="9" t="s">
        <v>141</v>
      </c>
    </row>
    <row r="19" spans="2:5" x14ac:dyDescent="0.2">
      <c r="B19" s="31">
        <f xml:space="preserve"> ROW( coVariants[[#This Row],[ID]] ) - ROW( coVariants[[#Headers],[ID]] )</f>
        <v>4</v>
      </c>
      <c r="C19" s="9" t="s">
        <v>125</v>
      </c>
      <c r="D19" s="9" t="s">
        <v>5</v>
      </c>
      <c r="E19" s="9" t="s">
        <v>141</v>
      </c>
    </row>
    <row r="20" spans="2:5" x14ac:dyDescent="0.2">
      <c r="B20" s="31">
        <f xml:space="preserve"> ROW( coVariants[[#This Row],[ID]] ) - ROW( coVariants[[#Headers],[ID]] )</f>
        <v>5</v>
      </c>
      <c r="C20" s="9" t="s">
        <v>130</v>
      </c>
      <c r="D20" s="9" t="s">
        <v>142</v>
      </c>
      <c r="E20" s="9" t="s">
        <v>143</v>
      </c>
    </row>
    <row r="21" spans="2:5" x14ac:dyDescent="0.2">
      <c r="B21" s="31">
        <f xml:space="preserve"> ROW( coVariants[[#This Row],[ID]] ) - ROW( coVariants[[#Headers],[ID]] )</f>
        <v>6</v>
      </c>
      <c r="C21" s="9" t="s">
        <v>130</v>
      </c>
      <c r="D21" s="9" t="s">
        <v>144</v>
      </c>
      <c r="E21" s="9" t="s">
        <v>145</v>
      </c>
    </row>
    <row r="22" spans="2:5" x14ac:dyDescent="0.2">
      <c r="B22" s="31">
        <f xml:space="preserve"> ROW( coVariants[[#This Row],[ID]] ) - ROW( coVariants[[#Headers],[ID]] )</f>
        <v>7</v>
      </c>
      <c r="C22" s="9" t="s">
        <v>134</v>
      </c>
      <c r="D22" s="9" t="s">
        <v>146</v>
      </c>
      <c r="E22" s="9" t="s">
        <v>147</v>
      </c>
    </row>
    <row r="23" spans="2:5" x14ac:dyDescent="0.2">
      <c r="B23" s="31">
        <f xml:space="preserve"> ROW( coVariants[[#This Row],[ID]] ) - ROW( coVariants[[#Headers],[ID]] )</f>
        <v>8</v>
      </c>
      <c r="C23" s="9" t="s">
        <v>134</v>
      </c>
      <c r="D23" s="9" t="s">
        <v>148</v>
      </c>
      <c r="E23" s="9" t="s">
        <v>149</v>
      </c>
    </row>
    <row r="24" spans="2:5" x14ac:dyDescent="0.2">
      <c r="B24" s="31">
        <f xml:space="preserve"> ROW( coVariants[[#This Row],[ID]] ) - ROW( coVariants[[#Headers],[ID]] )</f>
        <v>9</v>
      </c>
      <c r="C24" s="9" t="s">
        <v>137</v>
      </c>
      <c r="D24" s="9" t="s">
        <v>146</v>
      </c>
      <c r="E24" s="9" t="s">
        <v>147</v>
      </c>
    </row>
    <row r="25" spans="2:5" x14ac:dyDescent="0.2">
      <c r="B25" s="31">
        <f xml:space="preserve"> ROW( coVariants[[#This Row],[ID]] ) - ROW( coVariants[[#Headers],[ID]] )</f>
        <v>10</v>
      </c>
      <c r="C25" s="9" t="s">
        <v>137</v>
      </c>
      <c r="D25" s="9" t="s">
        <v>148</v>
      </c>
      <c r="E25" s="9" t="s">
        <v>149</v>
      </c>
    </row>
    <row r="28" spans="2:5" x14ac:dyDescent="0.2">
      <c r="B28" s="6" t="s">
        <v>150</v>
      </c>
    </row>
    <row r="29" spans="2:5" x14ac:dyDescent="0.2">
      <c r="B29" s="6" t="s">
        <v>100</v>
      </c>
      <c r="C29" s="6" t="s">
        <v>109</v>
      </c>
      <c r="D29" s="6" t="s">
        <v>151</v>
      </c>
      <c r="E29" s="6" t="s">
        <v>110</v>
      </c>
    </row>
    <row r="30" spans="2:5" x14ac:dyDescent="0.2">
      <c r="B30" s="31">
        <f xml:space="preserve"> ROW( co_modelTypes[[#This Row],[ID]] ) - ROW( co_modelTypes[[#Headers],[ID]] )</f>
        <v>1</v>
      </c>
      <c r="C30" s="9" t="s">
        <v>116</v>
      </c>
      <c r="D30" s="9" t="s">
        <v>152</v>
      </c>
      <c r="E30" s="9" t="s">
        <v>153</v>
      </c>
    </row>
    <row r="31" spans="2:5" x14ac:dyDescent="0.2">
      <c r="B31" s="31">
        <f xml:space="preserve"> ROW( co_modelTypes[[#This Row],[ID]] ) - ROW( co_modelTypes[[#Headers],[ID]] )</f>
        <v>2</v>
      </c>
      <c r="C31" s="9" t="s">
        <v>135</v>
      </c>
      <c r="D31" s="9" t="s">
        <v>154</v>
      </c>
      <c r="E31" s="9" t="s">
        <v>155</v>
      </c>
    </row>
    <row r="34" spans="2:6" x14ac:dyDescent="0.2">
      <c r="B34" s="6" t="s">
        <v>156</v>
      </c>
    </row>
    <row r="35" spans="2:6" x14ac:dyDescent="0.2">
      <c r="B35" s="6" t="s">
        <v>100</v>
      </c>
      <c r="C35" s="6" t="s">
        <v>71</v>
      </c>
      <c r="D35" s="6" t="s">
        <v>157</v>
      </c>
      <c r="E35" s="6" t="s">
        <v>158</v>
      </c>
    </row>
    <row r="36" spans="2:6" x14ac:dyDescent="0.2">
      <c r="B36" s="31">
        <f xml:space="preserve"> ROW( co_emissions[[#This Row],[ID]] ) - ROW( co_emissions[[#Headers],[ID]] )</f>
        <v>1</v>
      </c>
      <c r="C36" s="9" t="str" cm="1">
        <f t="array" ref="C36">IF(INDEX(outputs1[scenario],MATCH(0,COUNTIF('Control Panel'!$C$35:C35,outputs1[scenario]),0)) = 0,"", INDEX(outputs1[scenario],MATCH(0,COUNTIF('Control Panel'!$C$35:C35,outputs1[scenario]),0)))</f>
        <v/>
      </c>
      <c r="D36" s="9" t="str" cm="1">
        <f t="array" ref="D36">_xlfn.IFS(co_emissions[[#This Row],[Emissions Scenario]]=0,"ECS_3.0_ref_0",co_emissions[[#This Row],[Emissions Scenario]]="","ECS_3.0_ref_50",co_emissions[[#This Row],[Emissions Scenario]]&lt;&gt;0,co_emissions[[#This Row],[Emissions Scenario]])</f>
        <v>ECS_3.0_ref_50</v>
      </c>
      <c r="E36" s="9"/>
    </row>
    <row r="37" spans="2:6" x14ac:dyDescent="0.2">
      <c r="B37" s="31">
        <f xml:space="preserve"> ROW( co_emissions[[#This Row],[ID]] ) - ROW( co_emissions[[#Headers],[ID]] )</f>
        <v>2</v>
      </c>
      <c r="C37" s="9" t="str" cm="1">
        <f t="array" ref="C37">IF(INDEX(outputs1[scenario],MATCH(0,COUNTIF('Control Panel'!$C$35:C36,outputs1[scenario]),0)) = 0,"", INDEX(outputs1[scenario],MATCH(0,COUNTIF('Control Panel'!$C$35:C36,outputs1[scenario]),0)))</f>
        <v/>
      </c>
      <c r="D37" s="9" t="str" cm="1">
        <f t="array" ref="D37">_xlfn.IFS(co_emissions[[#This Row],[Emissions Scenario]]=0,"ECS_3.0_ref_0",co_emissions[[#This Row],[Emissions Scenario]]="","ECS_3.0_ref_50",co_emissions[[#This Row],[Emissions Scenario]]&lt;&gt;0,co_emissions[[#This Row],[Emissions Scenario]])</f>
        <v>ECS_3.0_ref_50</v>
      </c>
      <c r="E37" s="9"/>
    </row>
    <row r="38" spans="2:6" x14ac:dyDescent="0.2">
      <c r="B38" s="31">
        <f xml:space="preserve"> ROW( co_emissions[[#This Row],[ID]] ) - ROW( co_emissions[[#Headers],[ID]] )</f>
        <v>3</v>
      </c>
      <c r="C38" s="9" t="str" cm="1">
        <f t="array" ref="C38">IF(INDEX(outputs1[scenario],MATCH(0,COUNTIF('Control Panel'!$C$35:C37,outputs1[scenario]),0)) = 0,"", INDEX(outputs1[scenario],MATCH(0,COUNTIF('Control Panel'!$C$35:C37,outputs1[scenario]),0)))</f>
        <v/>
      </c>
      <c r="D38" s="9" t="str" cm="1">
        <f t="array" ref="D38">_xlfn.IFS(co_emissions[[#This Row],[Emissions Scenario]]=0,"ECS_3.0_ref_0",co_emissions[[#This Row],[Emissions Scenario]]="","ECS_3.0_ref_50",co_emissions[[#This Row],[Emissions Scenario]]&lt;&gt;0,co_emissions[[#This Row],[Emissions Scenario]])</f>
        <v>ECS_3.0_ref_50</v>
      </c>
      <c r="E38" s="9"/>
    </row>
    <row r="39" spans="2:6" x14ac:dyDescent="0.2">
      <c r="B39" s="31">
        <f xml:space="preserve"> ROW( co_emissions[[#This Row],[ID]] ) - ROW( co_emissions[[#Headers],[ID]] )</f>
        <v>4</v>
      </c>
      <c r="C39" s="9" t="str" cm="1">
        <f t="array" ref="C39">IF(INDEX(outputs1[scenario],MATCH(0,COUNTIF('Control Panel'!$C$35:C38,outputs1[scenario]),0)) = 0,"", INDEX(outputs1[scenario],MATCH(0,COUNTIF('Control Panel'!$C$35:C38,outputs1[scenario]),0)))</f>
        <v/>
      </c>
      <c r="D39" s="9" t="str" cm="1">
        <f t="array" ref="D39">_xlfn.IFS(co_emissions[[#This Row],[Emissions Scenario]]=0,"ECS_3.0_ref_0",co_emissions[[#This Row],[Emissions Scenario]]="","ECS_3.0_ref_50",co_emissions[[#This Row],[Emissions Scenario]]&lt;&gt;0,co_emissions[[#This Row],[Emissions Scenario]])</f>
        <v>ECS_3.0_ref_50</v>
      </c>
      <c r="E39" s="9"/>
    </row>
    <row r="40" spans="2:6" ht="15" x14ac:dyDescent="0.25">
      <c r="B40"/>
      <c r="C40"/>
      <c r="D40"/>
      <c r="E40"/>
      <c r="F40"/>
    </row>
    <row r="42" spans="2:6" x14ac:dyDescent="0.2">
      <c r="B42" s="6" t="s">
        <v>159</v>
      </c>
    </row>
    <row r="43" spans="2:6" x14ac:dyDescent="0.2">
      <c r="B43" s="6" t="s">
        <v>100</v>
      </c>
      <c r="C43" s="6" t="s">
        <v>83</v>
      </c>
      <c r="D43" s="6" t="s">
        <v>160</v>
      </c>
    </row>
    <row r="44" spans="2:6" x14ac:dyDescent="0.2">
      <c r="B44" s="31">
        <f xml:space="preserve"> ROW( SV_Categories[[#This Row],[ID]] ) - ROW( SV_Categories[[#Headers],[ID]] )</f>
        <v>1</v>
      </c>
      <c r="C44" s="9" t="s">
        <v>161</v>
      </c>
      <c r="D44" s="9" t="s">
        <v>23</v>
      </c>
    </row>
    <row r="45" spans="2:6" x14ac:dyDescent="0.2">
      <c r="B45" s="31">
        <f xml:space="preserve"> ROW( SV_Categories[[#This Row],[ID]] ) - ROW( SV_Categories[[#Headers],[ID]] )</f>
        <v>2</v>
      </c>
      <c r="C45" s="9" t="s">
        <v>162</v>
      </c>
      <c r="D45" s="9" t="s">
        <v>33</v>
      </c>
    </row>
    <row r="46" spans="2:6" x14ac:dyDescent="0.2">
      <c r="B46" s="31">
        <f xml:space="preserve"> ROW( SV_Categories[[#This Row],[ID]] ) - ROW( SV_Categories[[#Headers],[ID]] )</f>
        <v>3</v>
      </c>
      <c r="C46" s="9" t="s">
        <v>163</v>
      </c>
      <c r="D46" s="9" t="s">
        <v>27</v>
      </c>
    </row>
    <row r="47" spans="2:6" x14ac:dyDescent="0.2">
      <c r="B47" s="31">
        <f xml:space="preserve"> ROW( SV_Categories[[#This Row],[ID]] ) - ROW( SV_Categories[[#Headers],[ID]] )</f>
        <v>4</v>
      </c>
      <c r="C47" s="9" t="s">
        <v>164</v>
      </c>
      <c r="D47" s="9" t="s">
        <v>240</v>
      </c>
    </row>
    <row r="48" spans="2:6" x14ac:dyDescent="0.2">
      <c r="B48" s="31">
        <f xml:space="preserve"> ROW( SV_Categories[[#This Row],[ID]] ) - ROW( SV_Categories[[#Headers],[ID]] )</f>
        <v>5</v>
      </c>
      <c r="C48" s="9" t="s">
        <v>165</v>
      </c>
      <c r="D48" s="9" t="s">
        <v>66</v>
      </c>
    </row>
    <row r="49" spans="2:5" x14ac:dyDescent="0.2">
      <c r="B49" s="31">
        <f xml:space="preserve"> ROW( SV_Categories[[#This Row],[ID]] ) - ROW( SV_Categories[[#Headers],[ID]] )</f>
        <v>6</v>
      </c>
      <c r="C49" s="9" t="s">
        <v>166</v>
      </c>
      <c r="D49" s="9" t="s">
        <v>65</v>
      </c>
    </row>
    <row r="50" spans="2:5" x14ac:dyDescent="0.2">
      <c r="B50" s="31">
        <f xml:space="preserve"> ROW( SV_Categories[[#This Row],[ID]] ) - ROW( SV_Categories[[#Headers],[ID]] )</f>
        <v>7</v>
      </c>
      <c r="C50" s="9" t="s">
        <v>167</v>
      </c>
      <c r="D50" s="9" t="s">
        <v>64</v>
      </c>
    </row>
    <row r="51" spans="2:5" x14ac:dyDescent="0.2">
      <c r="B51" s="31">
        <f xml:space="preserve"> ROW( SV_Categories[[#This Row],[ID]] ) - ROW( SV_Categories[[#Headers],[ID]] )</f>
        <v>8</v>
      </c>
      <c r="C51" s="9" t="s">
        <v>168</v>
      </c>
      <c r="D51" s="9" t="s">
        <v>61</v>
      </c>
    </row>
    <row r="52" spans="2:5" x14ac:dyDescent="0.2">
      <c r="B52" s="31">
        <f xml:space="preserve"> ROW( SV_Categories[[#This Row],[ID]] ) - ROW( SV_Categories[[#Headers],[ID]] )</f>
        <v>9</v>
      </c>
      <c r="C52" s="9" t="s">
        <v>169</v>
      </c>
      <c r="D52" s="9" t="s">
        <v>60</v>
      </c>
    </row>
    <row r="53" spans="2:5" x14ac:dyDescent="0.2">
      <c r="B53" s="31">
        <f xml:space="preserve"> ROW( SV_Categories[[#This Row],[ID]] ) - ROW( SV_Categories[[#Headers],[ID]] )</f>
        <v>10</v>
      </c>
      <c r="C53" s="9" t="s">
        <v>170</v>
      </c>
      <c r="D53" s="9" t="s">
        <v>62</v>
      </c>
    </row>
    <row r="54" spans="2:5" x14ac:dyDescent="0.2">
      <c r="B54" s="31">
        <f xml:space="preserve"> ROW( SV_Categories[[#This Row],[ID]] ) - ROW( SV_Categories[[#Headers],[ID]] )</f>
        <v>11</v>
      </c>
      <c r="C54" s="9" t="s">
        <v>171</v>
      </c>
      <c r="D54" s="9" t="s">
        <v>63</v>
      </c>
    </row>
    <row r="55" spans="2:5" x14ac:dyDescent="0.2">
      <c r="B55" s="31">
        <f xml:space="preserve"> ROW( SV_Categories[[#This Row],[ID]] ) - ROW( SV_Categories[[#Headers],[ID]] )</f>
        <v>12</v>
      </c>
      <c r="C55" s="9" t="s">
        <v>172</v>
      </c>
      <c r="D55" s="9" t="s">
        <v>59</v>
      </c>
    </row>
    <row r="58" spans="2:5" x14ac:dyDescent="0.2">
      <c r="B58" s="6" t="s">
        <v>173</v>
      </c>
    </row>
    <row r="59" spans="2:5" x14ac:dyDescent="0.2">
      <c r="B59" s="6" t="s">
        <v>100</v>
      </c>
      <c r="C59" s="6" t="s">
        <v>174</v>
      </c>
      <c r="D59" s="6" t="s">
        <v>175</v>
      </c>
      <c r="E59" s="6" t="s">
        <v>176</v>
      </c>
    </row>
    <row r="60" spans="2:5" x14ac:dyDescent="0.2">
      <c r="B60" s="31">
        <f xml:space="preserve"> ROW( co_modelValues[[#This Row],[ID]] ) - ROW( co_modelValues[[#Headers],[ID]] )</f>
        <v>1</v>
      </c>
      <c r="C60" s="9" t="s">
        <v>177</v>
      </c>
      <c r="D60" s="9" t="s">
        <v>178</v>
      </c>
      <c r="E60" s="9" t="str">
        <f xml:space="preserve"> IF( ISBLANK( input_sector ), "", input_sector )</f>
        <v/>
      </c>
    </row>
    <row r="61" spans="2:5" x14ac:dyDescent="0.2">
      <c r="B61" s="31">
        <f xml:space="preserve"> ROW( co_modelValues[[#This Row],[ID]] ) - ROW( co_modelValues[[#Headers],[ID]] )</f>
        <v>2</v>
      </c>
      <c r="C61" s="9" t="s">
        <v>179</v>
      </c>
      <c r="D61" s="9" t="s">
        <v>180</v>
      </c>
      <c r="E61" s="9">
        <v>8</v>
      </c>
    </row>
    <row r="62" spans="2:5" x14ac:dyDescent="0.2">
      <c r="B62" s="31">
        <f xml:space="preserve"> ROW( co_modelValues[[#This Row],[ID]] ) - ROW( co_modelValues[[#Headers],[ID]] )</f>
        <v>3</v>
      </c>
      <c r="C62" s="9" t="s">
        <v>181</v>
      </c>
      <c r="D62" s="9" t="s">
        <v>182</v>
      </c>
      <c r="E62" s="9">
        <f xml:space="preserve"> ROWS( co_emissions[] )</f>
        <v>4</v>
      </c>
    </row>
    <row r="63" spans="2:5" x14ac:dyDescent="0.2">
      <c r="B63" s="31">
        <f xml:space="preserve"> ROW( co_modelValues[[#This Row],[ID]] ) - ROW( co_modelValues[[#Headers],[ID]] )</f>
        <v>4</v>
      </c>
      <c r="C63" s="9" t="s">
        <v>183</v>
      </c>
      <c r="D63" s="9" t="s">
        <v>184</v>
      </c>
      <c r="E63" s="9">
        <v>2</v>
      </c>
    </row>
    <row r="66" spans="2:7" x14ac:dyDescent="0.2">
      <c r="B66" s="6" t="s">
        <v>185</v>
      </c>
    </row>
    <row r="67" spans="2:7" x14ac:dyDescent="0.2">
      <c r="B67" s="6" t="s">
        <v>100</v>
      </c>
      <c r="C67" s="6" t="s">
        <v>9</v>
      </c>
      <c r="D67" s="6" t="s">
        <v>10</v>
      </c>
      <c r="E67" s="6" t="s">
        <v>186</v>
      </c>
      <c r="F67" s="6" t="s">
        <v>187</v>
      </c>
      <c r="G67" s="6" t="s">
        <v>188</v>
      </c>
    </row>
    <row r="68" spans="2:7" x14ac:dyDescent="0.2">
      <c r="B68" s="31">
        <f xml:space="preserve"> ROW( co_plotList[[#This Row],[ID]] ) - ROW( co_plotList[[#Headers],[ID]] )</f>
        <v>1</v>
      </c>
      <c r="C68" s="9" t="s">
        <v>11</v>
      </c>
      <c r="D68" s="11">
        <v>1</v>
      </c>
      <c r="E68" s="9" t="s">
        <v>189</v>
      </c>
      <c r="F68" s="9">
        <v>1</v>
      </c>
      <c r="G68" s="9" t="s">
        <v>190</v>
      </c>
    </row>
    <row r="69" spans="2:7" x14ac:dyDescent="0.2">
      <c r="B69" s="31">
        <f xml:space="preserve"> ROW( co_plotList[[#This Row],[ID]] ) - ROW( co_plotList[[#Headers],[ID]] )</f>
        <v>2</v>
      </c>
      <c r="C69" s="9" t="s">
        <v>11</v>
      </c>
      <c r="D69" s="11">
        <v>2</v>
      </c>
      <c r="E69" s="9" t="s">
        <v>191</v>
      </c>
      <c r="F69" s="9">
        <v>2</v>
      </c>
      <c r="G69" s="9" t="s">
        <v>192</v>
      </c>
    </row>
    <row r="70" spans="2:7" x14ac:dyDescent="0.2">
      <c r="B70" s="31">
        <f xml:space="preserve"> ROW( co_plotList[[#This Row],[ID]] ) - ROW( co_plotList[[#Headers],[ID]] )</f>
        <v>3</v>
      </c>
      <c r="C70" s="9" t="s">
        <v>193</v>
      </c>
      <c r="D70" s="11">
        <v>1</v>
      </c>
      <c r="E70" s="9" t="s">
        <v>194</v>
      </c>
      <c r="F70" s="9">
        <v>1</v>
      </c>
      <c r="G70" s="9" t="s">
        <v>195</v>
      </c>
    </row>
    <row r="71" spans="2:7" x14ac:dyDescent="0.2">
      <c r="B71" s="31">
        <f xml:space="preserve"> ROW( co_plotList[[#This Row],[ID]] ) - ROW( co_plotList[[#Headers],[ID]] )</f>
        <v>4</v>
      </c>
      <c r="C71" s="9" t="s">
        <v>13</v>
      </c>
      <c r="D71" s="11">
        <v>1</v>
      </c>
      <c r="E71" s="9" t="s">
        <v>196</v>
      </c>
      <c r="F71" s="9">
        <v>1</v>
      </c>
      <c r="G71" s="9" t="s">
        <v>197</v>
      </c>
    </row>
    <row r="72" spans="2:7" x14ac:dyDescent="0.2">
      <c r="B72" s="31">
        <f xml:space="preserve"> ROW( co_plotList[[#This Row],[ID]] ) - ROW( co_plotList[[#Headers],[ID]] )</f>
        <v>5</v>
      </c>
      <c r="C72" s="9" t="s">
        <v>13</v>
      </c>
      <c r="D72" s="11">
        <v>2</v>
      </c>
      <c r="E72" s="9" t="s">
        <v>198</v>
      </c>
      <c r="F72" s="9">
        <v>2</v>
      </c>
      <c r="G72" s="9" t="s">
        <v>199</v>
      </c>
    </row>
    <row r="73" spans="2:7" x14ac:dyDescent="0.2">
      <c r="B73" s="31">
        <f xml:space="preserve"> ROW( co_plotList[[#This Row],[ID]] ) - ROW( co_plotList[[#Headers],[ID]] )</f>
        <v>6</v>
      </c>
      <c r="C73" s="9" t="s">
        <v>13</v>
      </c>
      <c r="D73" s="11">
        <v>3</v>
      </c>
      <c r="E73" s="9" t="s">
        <v>200</v>
      </c>
      <c r="F73" s="9">
        <v>3</v>
      </c>
      <c r="G73" s="9" t="s">
        <v>201</v>
      </c>
    </row>
    <row r="74" spans="2:7" x14ac:dyDescent="0.2">
      <c r="B74" s="31">
        <f xml:space="preserve"> ROW( co_plotList[[#This Row],[ID]] ) - ROW( co_plotList[[#Headers],[ID]] )</f>
        <v>7</v>
      </c>
      <c r="C74" s="9" t="s">
        <v>13</v>
      </c>
      <c r="D74" s="11">
        <v>4</v>
      </c>
      <c r="E74" s="9" t="s">
        <v>225</v>
      </c>
      <c r="F74" s="9">
        <v>4</v>
      </c>
      <c r="G74" s="9" t="s">
        <v>226</v>
      </c>
    </row>
    <row r="77" spans="2:7" x14ac:dyDescent="0.2">
      <c r="B77" s="6" t="s">
        <v>202</v>
      </c>
      <c r="F77" s="6" t="s">
        <v>203</v>
      </c>
    </row>
    <row r="78" spans="2:7" x14ac:dyDescent="0.2">
      <c r="B78" s="6" t="s">
        <v>100</v>
      </c>
      <c r="C78" s="6" t="s">
        <v>186</v>
      </c>
      <c r="D78" s="6" t="s">
        <v>204</v>
      </c>
      <c r="E78" s="6" t="s">
        <v>188</v>
      </c>
      <c r="F78" s="6" t="s">
        <v>205</v>
      </c>
      <c r="G78" s="6" t="s">
        <v>206</v>
      </c>
    </row>
    <row r="79" spans="2:7" x14ac:dyDescent="0.2">
      <c r="B79" s="31">
        <f xml:space="preserve"> ROW( co_plotSelections[[#This Row],[ID]] ) - ROW( co_plotSelections[[#Headers],[ID]] )</f>
        <v>1</v>
      </c>
      <c r="C79" s="9" t="s">
        <v>189</v>
      </c>
      <c r="D79" s="11" t="s">
        <v>32</v>
      </c>
      <c r="E79" s="9" t="str">
        <f xml:space="preserve"> INDEX( co_plotList[inputsName], MATCH( co_plotSelections[[#This Row],[plot_id]], co_plotList[plot_id], 0 ) )</f>
        <v>input_impacts1</v>
      </c>
      <c r="F79" s="11">
        <v>1</v>
      </c>
      <c r="G79" s="10" t="str" cm="1">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80" spans="2:7" x14ac:dyDescent="0.2">
      <c r="B80" s="31">
        <f xml:space="preserve"> ROW( co_plotSelections[[#This Row],[ID]] ) - ROW( co_plotSelections[[#Headers],[ID]] )</f>
        <v>2</v>
      </c>
      <c r="C80" s="9" t="s">
        <v>189</v>
      </c>
      <c r="D80" s="9" t="s">
        <v>34</v>
      </c>
      <c r="E80" s="9" t="str">
        <f xml:space="preserve"> INDEX( co_plotList[inputsName], MATCH( co_plotSelections[[#This Row],[plot_id]], co_plotList[plot_id], 0 ) )</f>
        <v>input_impacts1</v>
      </c>
      <c r="F80" s="11">
        <v>2</v>
      </c>
      <c r="G80" s="10" t="str" cm="1">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1" spans="2:7" x14ac:dyDescent="0.2">
      <c r="B81" s="31">
        <f xml:space="preserve"> ROW( co_plotSelections[[#This Row],[ID]] ) - ROW( co_plotSelections[[#Headers],[ID]] )</f>
        <v>3</v>
      </c>
      <c r="C81" s="9" t="s">
        <v>189</v>
      </c>
      <c r="D81" s="11" t="s">
        <v>37</v>
      </c>
      <c r="E81" s="11" t="str">
        <f xml:space="preserve"> INDEX( co_plotList[inputsName], MATCH( co_plotSelections[[#This Row],[plot_id]], co_plotList[plot_id], 0 ) )</f>
        <v>input_impacts1</v>
      </c>
      <c r="F81" s="11">
        <v>3</v>
      </c>
      <c r="G81" s="10" t="str" cm="1">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2" spans="2:7" x14ac:dyDescent="0.2">
      <c r="B82" s="31">
        <f xml:space="preserve"> ROW( co_plotSelections[[#This Row],[ID]] ) - ROW( co_plotSelections[[#Headers],[ID]] )</f>
        <v>4</v>
      </c>
      <c r="C82" s="9" t="s">
        <v>191</v>
      </c>
      <c r="D82" s="9" t="s">
        <v>34</v>
      </c>
      <c r="E82" s="9" t="str">
        <f xml:space="preserve"> INDEX( co_plotList[inputsName], MATCH( co_plotSelections[[#This Row],[plot_id]], co_plotList[plot_id], 0 ) )</f>
        <v>input_impacts2</v>
      </c>
      <c r="F82" s="11">
        <v>1</v>
      </c>
      <c r="G82" s="10" t="str" cm="1">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3" spans="2:7" x14ac:dyDescent="0.2">
      <c r="B83" s="31">
        <f xml:space="preserve"> ROW( co_plotSelections[[#This Row],[ID]] ) - ROW( co_plotSelections[[#Headers],[ID]] )</f>
        <v>5</v>
      </c>
      <c r="C83" s="9" t="s">
        <v>191</v>
      </c>
      <c r="D83" s="11" t="s">
        <v>37</v>
      </c>
      <c r="E83" s="9" t="str">
        <f xml:space="preserve"> INDEX( co_plotList[inputsName], MATCH( co_plotSelections[[#This Row],[plot_id]], co_plotList[plot_id], 0 ) )</f>
        <v>input_impacts2</v>
      </c>
      <c r="F83" s="11">
        <v>2</v>
      </c>
      <c r="G83" s="10" t="str" cm="1">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4" spans="2:7" x14ac:dyDescent="0.2">
      <c r="B84" s="31">
        <f xml:space="preserve"> ROW( co_plotSelections[[#This Row],[ID]] ) - ROW( co_plotSelections[[#Headers],[ID]] )</f>
        <v>6</v>
      </c>
      <c r="C84" s="9" t="s">
        <v>191</v>
      </c>
      <c r="D84" s="11" t="s">
        <v>35</v>
      </c>
      <c r="E84" s="11" t="str">
        <f xml:space="preserve"> INDEX( co_plotList[inputsName], MATCH( co_plotSelections[[#This Row],[plot_id]], co_plotList[plot_id], 0 ) )</f>
        <v>input_impacts2</v>
      </c>
      <c r="F84" s="11">
        <v>3</v>
      </c>
      <c r="G84" s="10" t="str" cm="1">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5" spans="2:7" x14ac:dyDescent="0.2">
      <c r="B85" s="31">
        <f xml:space="preserve"> ROW( co_plotSelections[[#This Row],[ID]] ) - ROW( co_plotSelections[[#Headers],[ID]] )</f>
        <v>7</v>
      </c>
      <c r="C85" s="9" t="s">
        <v>191</v>
      </c>
      <c r="D85" s="11" t="s">
        <v>38</v>
      </c>
      <c r="E85" s="11" t="str">
        <f xml:space="preserve"> INDEX( co_plotList[inputsName], MATCH( co_plotSelections[[#This Row],[plot_id]], co_plotList[plot_id], 0 ) )</f>
        <v>input_impacts2</v>
      </c>
      <c r="F85" s="11">
        <v>4</v>
      </c>
      <c r="G85" s="10" t="str" cm="1">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6" spans="2:7" x14ac:dyDescent="0.2">
      <c r="B86" s="31">
        <f xml:space="preserve"> ROW( co_plotSelections[[#This Row],[ID]] ) - ROW( co_plotSelections[[#Headers],[ID]] )</f>
        <v>8</v>
      </c>
      <c r="C86" s="9" t="s">
        <v>194</v>
      </c>
      <c r="D86" s="9" t="s">
        <v>74</v>
      </c>
      <c r="E86" s="9" t="str">
        <f xml:space="preserve"> INDEX( co_plotList[inputsName], MATCH( co_plotSelections[[#This Row],[plot_id]], co_plotList[plot_id], 0 ) )</f>
        <v>input_risk1</v>
      </c>
      <c r="F86" s="11">
        <v>1</v>
      </c>
      <c r="G86" s="10" t="str" cm="1">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7" spans="2:7" x14ac:dyDescent="0.2">
      <c r="B87" s="31">
        <f xml:space="preserve"> ROW( co_plotSelections[[#This Row],[ID]] ) - ROW( co_plotSelections[[#Headers],[ID]] )</f>
        <v>9</v>
      </c>
      <c r="C87" s="9" t="s">
        <v>194</v>
      </c>
      <c r="D87" s="9" t="s">
        <v>35</v>
      </c>
      <c r="E87" s="9" t="str">
        <f xml:space="preserve"> INDEX( co_plotList[inputsName], MATCH( co_plotSelections[[#This Row],[plot_id]], co_plotList[plot_id], 0 ) )</f>
        <v>input_risk1</v>
      </c>
      <c r="F87" s="11">
        <v>2</v>
      </c>
      <c r="G87" s="10" t="str" cm="1">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8" spans="2:7" x14ac:dyDescent="0.2">
      <c r="B88" s="31">
        <f xml:space="preserve"> ROW( co_plotSelections[[#This Row],[ID]] ) - ROW( co_plotSelections[[#Headers],[ID]] )</f>
        <v>10</v>
      </c>
      <c r="C88" s="9" t="s">
        <v>194</v>
      </c>
      <c r="D88" s="9" t="s">
        <v>38</v>
      </c>
      <c r="E88" s="9" t="str">
        <f xml:space="preserve"> INDEX( co_plotList[inputsName], MATCH( co_plotSelections[[#This Row],[plot_id]], co_plotList[plot_id], 0 ) )</f>
        <v>input_risk1</v>
      </c>
      <c r="F88" s="11">
        <v>3</v>
      </c>
      <c r="G88" s="10" t="str" cm="1">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9" spans="2:7" x14ac:dyDescent="0.2">
      <c r="B89" s="31">
        <f xml:space="preserve"> ROW( co_plotSelections[[#This Row],[ID]] ) - ROW( co_plotSelections[[#Headers],[ID]] )</f>
        <v>11</v>
      </c>
      <c r="C89" s="9" t="s">
        <v>196</v>
      </c>
      <c r="D89" s="11" t="s">
        <v>32</v>
      </c>
      <c r="E89" s="11" t="str">
        <f xml:space="preserve"> INDEX( co_plotList[inputsName], MATCH( co_plotSelections[[#This Row],[plot_id]], co_plotList[plot_id], 0 ) )</f>
        <v>input_rates1</v>
      </c>
      <c r="F89" s="11">
        <v>1</v>
      </c>
      <c r="G89" s="10" t="str" cm="1">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0" spans="2:7" x14ac:dyDescent="0.2">
      <c r="B90" s="31">
        <f xml:space="preserve"> ROW( co_plotSelections[[#This Row],[ID]] ) - ROW( co_plotSelections[[#Headers],[ID]] )</f>
        <v>12</v>
      </c>
      <c r="C90" s="9" t="s">
        <v>196</v>
      </c>
      <c r="D90" s="11" t="s">
        <v>34</v>
      </c>
      <c r="E90" s="11" t="str">
        <f xml:space="preserve"> INDEX( co_plotList[inputsName], MATCH( co_plotSelections[[#This Row],[plot_id]], co_plotList[plot_id], 0 ) )</f>
        <v>input_rates1</v>
      </c>
      <c r="F90" s="11">
        <v>2</v>
      </c>
      <c r="G90" s="10" t="str" cm="1">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1" spans="2:7" x14ac:dyDescent="0.2">
      <c r="B91" s="31">
        <f xml:space="preserve"> ROW( co_plotSelections[[#This Row],[ID]] ) - ROW( co_plotSelections[[#Headers],[ID]] )</f>
        <v>13</v>
      </c>
      <c r="C91" s="9" t="s">
        <v>196</v>
      </c>
      <c r="D91" s="11" t="s">
        <v>37</v>
      </c>
      <c r="E91" s="11" t="str">
        <f xml:space="preserve"> INDEX( co_plotList[inputsName], MATCH( co_plotSelections[[#This Row],[plot_id]], co_plotList[plot_id], 0 ) )</f>
        <v>input_rates1</v>
      </c>
      <c r="F91" s="11">
        <v>3</v>
      </c>
      <c r="G91" s="10" t="str" cm="1">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2" spans="2:7" x14ac:dyDescent="0.2">
      <c r="B92" s="31">
        <f xml:space="preserve"> ROW( co_plotSelections[[#This Row],[ID]] ) - ROW( co_plotSelections[[#Headers],[ID]] )</f>
        <v>14</v>
      </c>
      <c r="C92" s="9" t="s">
        <v>196</v>
      </c>
      <c r="D92" s="11" t="s">
        <v>35</v>
      </c>
      <c r="E92" s="11" t="str">
        <f xml:space="preserve"> INDEX( co_plotList[inputsName], MATCH( co_plotSelections[[#This Row],[plot_id]], co_plotList[plot_id], 0 ) )</f>
        <v>input_rates1</v>
      </c>
      <c r="F92" s="11">
        <v>4</v>
      </c>
      <c r="G92" s="10" t="str" cm="1">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3" spans="2:7" x14ac:dyDescent="0.2">
      <c r="B93" s="31">
        <f xml:space="preserve"> ROW( co_plotSelections[[#This Row],[ID]] ) - ROW( co_plotSelections[[#Headers],[ID]] )</f>
        <v>15</v>
      </c>
      <c r="C93" s="9" t="s">
        <v>198</v>
      </c>
      <c r="D93" s="11" t="s">
        <v>32</v>
      </c>
      <c r="E93" s="11" t="str">
        <f xml:space="preserve"> INDEX( co_plotList[inputsName], MATCH( co_plotSelections[[#This Row],[plot_id]], co_plotList[plot_id], 0 ) )</f>
        <v>input_rates2</v>
      </c>
      <c r="F93" s="11">
        <v>1</v>
      </c>
      <c r="G93" s="10" t="str" cm="1">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4" spans="2:7" x14ac:dyDescent="0.2">
      <c r="B94" s="31">
        <f xml:space="preserve"> ROW( co_plotSelections[[#This Row],[ID]] ) - ROW( co_plotSelections[[#Headers],[ID]] )</f>
        <v>16</v>
      </c>
      <c r="C94" s="9" t="s">
        <v>198</v>
      </c>
      <c r="D94" s="11" t="s">
        <v>35</v>
      </c>
      <c r="E94" s="11" t="str">
        <f xml:space="preserve"> INDEX( co_plotList[inputsName], MATCH( co_plotSelections[[#This Row],[plot_id]], co_plotList[plot_id], 0 ) )</f>
        <v>input_rates2</v>
      </c>
      <c r="F94" s="11">
        <v>2</v>
      </c>
      <c r="G94" s="10" t="str" cm="1">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5" spans="2:7" x14ac:dyDescent="0.2">
      <c r="B95" s="31">
        <f xml:space="preserve"> ROW( co_plotSelections[[#This Row],[ID]] ) - ROW( co_plotSelections[[#Headers],[ID]] )</f>
        <v>17</v>
      </c>
      <c r="C95" s="9" t="s">
        <v>200</v>
      </c>
      <c r="D95" s="11" t="s">
        <v>74</v>
      </c>
      <c r="E95" s="11" t="str">
        <f xml:space="preserve"> INDEX( co_plotList[inputsName], MATCH( co_plotSelections[[#This Row],[plot_id]], co_plotList[plot_id], 0 ) )</f>
        <v>input_rates3</v>
      </c>
      <c r="F95" s="11">
        <v>1</v>
      </c>
      <c r="G95" s="10" t="str" cm="1">
        <f t="array" aca="1" ref="G9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6" spans="2:7" x14ac:dyDescent="0.2">
      <c r="B96" s="31">
        <f xml:space="preserve"> ROW( co_plotSelections[[#This Row],[ID]] ) - ROW( co_plotSelections[[#Headers],[ID]] )</f>
        <v>18</v>
      </c>
      <c r="C96" s="9" t="s">
        <v>200</v>
      </c>
      <c r="D96" s="11" t="s">
        <v>35</v>
      </c>
      <c r="E96" s="11" t="str">
        <f xml:space="preserve"> INDEX( co_plotList[inputsName], MATCH( co_plotSelections[[#This Row],[plot_id]], co_plotList[plot_id], 0 ) )</f>
        <v>input_rates3</v>
      </c>
      <c r="F96" s="11">
        <v>2</v>
      </c>
      <c r="G96" s="10" t="str" cm="1">
        <f t="array" aca="1" ref="G9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7" spans="2:7" x14ac:dyDescent="0.2">
      <c r="B97" s="31">
        <f xml:space="preserve"> ROW( co_plotSelections[[#This Row],[ID]] ) - ROW( co_plotSelections[[#Headers],[ID]] )</f>
        <v>19</v>
      </c>
      <c r="C97" s="9" t="s">
        <v>200</v>
      </c>
      <c r="D97" s="11" t="s">
        <v>38</v>
      </c>
      <c r="E97" s="11" t="str">
        <f xml:space="preserve"> INDEX( co_plotList[inputsName], MATCH( co_plotSelections[[#This Row],[plot_id]], co_plotList[plot_id], 0 ) )</f>
        <v>input_rates3</v>
      </c>
      <c r="F97" s="11">
        <v>3</v>
      </c>
      <c r="G97" s="10" t="str" cm="1">
        <f t="array" aca="1" ref="G9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8" spans="2:7" x14ac:dyDescent="0.2">
      <c r="B98" s="31">
        <f xml:space="preserve"> ROW( co_plotSelections[[#This Row],[ID]] ) - ROW( co_plotSelections[[#Headers],[ID]] )</f>
        <v>20</v>
      </c>
      <c r="C98" s="9" t="s">
        <v>225</v>
      </c>
      <c r="D98" s="11" t="s">
        <v>34</v>
      </c>
      <c r="E98" s="33" t="str">
        <f xml:space="preserve"> INDEX( co_plotList[inputsName], MATCH( co_plotSelections[[#This Row],[plot_id]], co_plotList[plot_id], 0 ) )</f>
        <v>input_rates4</v>
      </c>
      <c r="F98" s="11">
        <v>1</v>
      </c>
      <c r="G98" s="34" t="str" cm="1">
        <f t="array" aca="1" ref="G9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9" spans="2:7" x14ac:dyDescent="0.2">
      <c r="B99" s="31">
        <f xml:space="preserve"> ROW( co_plotSelections[[#This Row],[ID]] ) - ROW( co_plotSelections[[#Headers],[ID]] )</f>
        <v>21</v>
      </c>
      <c r="C99" s="9" t="s">
        <v>225</v>
      </c>
      <c r="D99" s="11" t="s">
        <v>37</v>
      </c>
      <c r="E99" s="33" t="str">
        <f xml:space="preserve"> INDEX( co_plotList[inputsName], MATCH( co_plotSelections[[#This Row],[plot_id]], co_plotList[plot_id], 0 ) )</f>
        <v>input_rates4</v>
      </c>
      <c r="F99" s="11">
        <v>2</v>
      </c>
      <c r="G99" s="34" t="str" cm="1">
        <f t="array" aca="1" ref="G9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100" spans="2:7" x14ac:dyDescent="0.2">
      <c r="B100" s="31">
        <f xml:space="preserve"> ROW( co_plotSelections[[#This Row],[ID]] ) - ROW( co_plotSelections[[#Headers],[ID]] )</f>
        <v>22</v>
      </c>
      <c r="C100" s="9" t="s">
        <v>225</v>
      </c>
      <c r="D100" s="11" t="s">
        <v>35</v>
      </c>
      <c r="E100" s="33" t="str">
        <f xml:space="preserve"> INDEX( co_plotList[inputsName], MATCH( co_plotSelections[[#This Row],[plot_id]], co_plotList[plot_id], 0 ) )</f>
        <v>input_rates4</v>
      </c>
      <c r="F100" s="11">
        <v>3</v>
      </c>
      <c r="G100" s="34" t="str" cm="1">
        <f t="array" aca="1" ref="G10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101" spans="2:7" x14ac:dyDescent="0.2">
      <c r="B101" s="31">
        <f xml:space="preserve"> ROW( co_plotSelections[[#This Row],[ID]] ) - ROW( co_plotSelections[[#Headers],[ID]] )</f>
        <v>23</v>
      </c>
      <c r="C101" s="9" t="s">
        <v>225</v>
      </c>
      <c r="D101" s="11" t="s">
        <v>38</v>
      </c>
      <c r="E101" s="33" t="str">
        <f xml:space="preserve"> INDEX( co_plotList[inputsName], MATCH( co_plotSelections[[#This Row],[plot_id]], co_plotList[plot_id], 0 ) )</f>
        <v>input_rates4</v>
      </c>
      <c r="F101" s="11">
        <v>4</v>
      </c>
      <c r="G101" s="34" t="str" cm="1">
        <f t="array" aca="1" ref="G10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104" spans="2:7" x14ac:dyDescent="0.2">
      <c r="B104" s="6" t="s">
        <v>207</v>
      </c>
    </row>
    <row r="105" spans="2:7" x14ac:dyDescent="0.2">
      <c r="B105" s="6" t="s">
        <v>100</v>
      </c>
      <c r="C105" s="6" t="s">
        <v>186</v>
      </c>
      <c r="D105" s="6" t="s">
        <v>208</v>
      </c>
      <c r="E105" s="6" t="s">
        <v>209</v>
      </c>
    </row>
    <row r="106" spans="2:7" x14ac:dyDescent="0.2">
      <c r="B106" s="31">
        <f xml:space="preserve"> ROW( co_plotLabels[[#This Row],[ID]] ) - ROW( co_plotLabels[[#Headers],[ID]] )</f>
        <v>1</v>
      </c>
      <c r="C106" s="9" t="s">
        <v>189</v>
      </c>
      <c r="D106" s="9" t="s">
        <v>210</v>
      </c>
      <c r="E106" s="9" t="str">
        <f xml:space="preserve"> _xlfn.IFNA( _xlfn.TEXTJOIN("", TRUE, "Avoided ", INDEX(co_sectorInfo[Alternate Plot Title],MATCH(input_sector,co_sectorInfo[sector],0)), " in ", $G$79, " populations", " - ",$G$81), "" )</f>
        <v/>
      </c>
    </row>
    <row r="107" spans="2:7" x14ac:dyDescent="0.2">
      <c r="B107" s="31">
        <f xml:space="preserve"> ROW( co_plotLabels[[#This Row],[ID]] ) - ROW( co_plotLabels[[#Headers],[ID]] )</f>
        <v>2</v>
      </c>
      <c r="C107" s="9" t="s">
        <v>189</v>
      </c>
      <c r="D107" s="9" t="s">
        <v>211</v>
      </c>
      <c r="E107" s="9" t="s">
        <v>38</v>
      </c>
    </row>
    <row r="108" spans="2:7" x14ac:dyDescent="0.2">
      <c r="B108" s="31">
        <f xml:space="preserve"> ROW( co_plotLabels[[#This Row],[ID]] ) - ROW( co_plotLabels[[#Headers],[ID]] )</f>
        <v>3</v>
      </c>
      <c r="C108" s="9" t="s">
        <v>189</v>
      </c>
      <c r="D108" s="9" t="s">
        <v>212</v>
      </c>
      <c r="E108" s="12" t="str">
        <f xml:space="preserve"> _xlfn.IFNA( _xlfn.TEXTJOIN("", TRUE, "Avoided ", INDEX(co_sectorInfo[Alternate Plot Title],MATCH(input_sector,co_sectorInfo[sector],0))), "" )</f>
        <v/>
      </c>
    </row>
    <row r="109" spans="2:7" x14ac:dyDescent="0.2">
      <c r="B109" s="31">
        <f xml:space="preserve"> ROW( co_plotLabels[[#This Row],[ID]] ) - ROW( co_plotLabels[[#Headers],[ID]] )</f>
        <v>4</v>
      </c>
      <c r="C109" s="9" t="s">
        <v>191</v>
      </c>
      <c r="D109" s="11" t="s">
        <v>210</v>
      </c>
      <c r="E109" s="12" t="str">
        <f xml:space="preserve"> _xlfn.IFNA( _xlfn.TEXTJOIN("", TRUE, "Avoided ", INDEX(co_sectorInfo[Alternate Plot Title],MATCH(input_sector,co_sectorInfo[sector],0)), " for ", $G$83,", ", $G$85, " - ",$G$84), "" )</f>
        <v/>
      </c>
    </row>
    <row r="110" spans="2:7" x14ac:dyDescent="0.2">
      <c r="B110" s="31">
        <f xml:space="preserve"> ROW( co_plotLabels[[#This Row],[ID]] ) - ROW( co_plotLabels[[#Headers],[ID]] )</f>
        <v>5</v>
      </c>
      <c r="C110" s="9" t="s">
        <v>194</v>
      </c>
      <c r="D110" s="11" t="s">
        <v>210</v>
      </c>
      <c r="E110" s="12" t="str">
        <f ca="1">IF( OR( $G$88 = "", $G$86 = "", $G$87 = "" ), "", _xlfn.TEXTJOIN("",TRUE,"Difference in risk in ", $G$88, " for ", $G$86, " - ", $G$87) )</f>
        <v/>
      </c>
    </row>
    <row r="111" spans="2:7" x14ac:dyDescent="0.2">
      <c r="B111" s="31">
        <f xml:space="preserve"> ROW( co_plotLabels[[#This Row],[ID]] ) - ROW( co_plotLabels[[#Headers],[ID]] )</f>
        <v>6</v>
      </c>
      <c r="C111" s="9" t="s">
        <v>196</v>
      </c>
      <c r="D111" s="11" t="s">
        <v>210</v>
      </c>
      <c r="E111" s="9" t="str">
        <f xml:space="preserve"> _xlfn.IFNA( _xlfn.TEXTJOIN("", TRUE, "Avoided ", INDEX(co_sectorInfo[impactUnit],MATCH(input_sector,co_sectorInfo[sector],0)), " ",
     INDEX(co_sectorInfo[rateUnitLabel],MATCH(input_sector,co_sectorInfo[sector],0)), " in ", $G$89, " populations for ", $G$91," - ", $G$92), "" )</f>
        <v/>
      </c>
    </row>
    <row r="112" spans="2:7" x14ac:dyDescent="0.2">
      <c r="B112" s="31">
        <f xml:space="preserve"> ROW( co_plotLabels[[#This Row],[ID]] ) - ROW( co_plotLabels[[#Headers],[ID]] )</f>
        <v>7</v>
      </c>
      <c r="C112" s="9" t="s">
        <v>196</v>
      </c>
      <c r="D112" s="11" t="s">
        <v>211</v>
      </c>
      <c r="E112" s="9" t="s">
        <v>38</v>
      </c>
    </row>
    <row r="113" spans="2:5" x14ac:dyDescent="0.2">
      <c r="B113" s="31">
        <f xml:space="preserve"> ROW( co_plotLabels[[#This Row],[ID]] ) - ROW( co_plotLabels[[#Headers],[ID]] )</f>
        <v>8</v>
      </c>
      <c r="C113" s="9" t="s">
        <v>196</v>
      </c>
      <c r="D113" s="11" t="s">
        <v>212</v>
      </c>
      <c r="E113" s="12" t="str">
        <f xml:space="preserve"> _xlfn.IFNA( _xlfn.TEXTJOIN("", TRUE, "Avoided ", INDEX(co_sectorInfo[impactUnit],MATCH(input_sector,co_sectorInfo[sector],0)), " ", INDEX(co_sectorInfo[rateUnitLabel],MATCH(input_sector,co_sectorInfo[sector],0))), "" )</f>
        <v/>
      </c>
    </row>
    <row r="114" spans="2:5" x14ac:dyDescent="0.2">
      <c r="B114" s="31">
        <f xml:space="preserve"> ROW( co_plotLabels[[#This Row],[ID]] ) - ROW( co_plotLabels[[#Headers],[ID]] )</f>
        <v>9</v>
      </c>
      <c r="C114" s="9" t="s">
        <v>198</v>
      </c>
      <c r="D114" s="11" t="s">
        <v>210</v>
      </c>
      <c r="E114" s="9" t="str">
        <f xml:space="preserve"> _xlfn.IFNA( _xlfn.TEXTJOIN("", TRUE, "Additional ", INDEX(co_sectorInfo[impactUnit],MATCH(input_sector,co_sectorInfo[sector],0)), " ",
    INDEX(co_sectorInfo[rateUnitLabel],MATCH(input_sector,co_sectorInfo[sector],0)), " in ", $G$93, " populations", " - ", $G$94), "" )</f>
        <v/>
      </c>
    </row>
    <row r="115" spans="2:5" x14ac:dyDescent="0.2">
      <c r="B115" s="31">
        <f xml:space="preserve"> ROW( co_plotLabels[[#This Row],[ID]] ) - ROW( co_plotLabels[[#Headers],[ID]] )</f>
        <v>10</v>
      </c>
      <c r="C115" s="9" t="s">
        <v>198</v>
      </c>
      <c r="D115" s="11" t="s">
        <v>211</v>
      </c>
      <c r="E115" s="9" t="s">
        <v>38</v>
      </c>
    </row>
    <row r="116" spans="2:5" x14ac:dyDescent="0.2">
      <c r="B116" s="31">
        <f xml:space="preserve"> ROW( co_plotLabels[[#This Row],[ID]] ) - ROW( co_plotLabels[[#Headers],[ID]] )</f>
        <v>11</v>
      </c>
      <c r="C116" s="9" t="s">
        <v>198</v>
      </c>
      <c r="D116" s="11" t="s">
        <v>212</v>
      </c>
      <c r="E116" s="9" t="str">
        <f xml:space="preserve"> _xlfn.IFNA( _xlfn.TEXTJOIN("", TRUE, INDEX(co_sectorInfo[impactUnitFormatted],MATCH(input_sector,co_sectorInfo[sector],0))," ", INDEX(co_sectorInfo[rateUnitLabel],MATCH(input_sector,co_sectorInfo[sector],0))), "" )</f>
        <v/>
      </c>
    </row>
    <row r="117" spans="2:5" x14ac:dyDescent="0.2">
      <c r="B117" s="31">
        <f xml:space="preserve"> ROW( co_plotLabels[[#This Row],[ID]] ) - ROW( co_plotLabels[[#Headers],[ID]] )</f>
        <v>12</v>
      </c>
      <c r="C117" s="9" t="s">
        <v>200</v>
      </c>
      <c r="D117" s="11" t="s">
        <v>210</v>
      </c>
      <c r="E117" s="9" t="str">
        <f xml:space="preserve"> _xlfn.IFNA( _xlfn.TEXTJOIN("", TRUE, "Additional ", INDEX(co_sectorInfo[impactUnit],MATCH(input_sector,co_sectorInfo[sector],0))," ", INDEX(co_sectorInfo[rateUnitLabel],MATCH(input_sector,co_sectorInfo[sector],0)), " for ", $G$95, ", ", $G$97," - ", $G$96), "" )</f>
        <v/>
      </c>
    </row>
    <row r="118" spans="2:5" x14ac:dyDescent="0.2">
      <c r="B118" s="31">
        <f xml:space="preserve"> ROW( co_plotLabels[[#This Row],[ID]] ) - ROW( co_plotLabels[[#Headers],[ID]] )</f>
        <v>13</v>
      </c>
      <c r="C118" s="9" t="s">
        <v>225</v>
      </c>
      <c r="D118" s="11" t="s">
        <v>210</v>
      </c>
      <c r="E118" s="9" t="str">
        <f xml:space="preserve"> _xlfn.IFNA( _xlfn.TEXTJOIN("", TRUE, "Avoided ", INDEX(co_sectorInfo[impactUnit],MATCH(input_sector,co_sectorInfo[sector],0))," ", INDEX(co_sectorInfo[rateUnitLabel],MATCH(input_sector,co_sectorInfo[sector],0)), " for ", $G$99, ", ", $G$101," - ", $G$100), "" )</f>
        <v/>
      </c>
    </row>
    <row r="121" spans="2:5" x14ac:dyDescent="0.2">
      <c r="B121" s="6" t="s">
        <v>213</v>
      </c>
    </row>
    <row r="122" spans="2:5" x14ac:dyDescent="0.2">
      <c r="B122" s="6" t="s">
        <v>100</v>
      </c>
      <c r="C122" s="6" t="s">
        <v>35</v>
      </c>
    </row>
    <row r="123" spans="2:5" x14ac:dyDescent="0.2">
      <c r="B123" s="31">
        <f xml:space="preserve"> ROW( co_regions[[#This Row],[ID]] ) - ROW( co_regions[[#Headers],[ID]] )</f>
        <v>1</v>
      </c>
      <c r="C123" s="9" t="s">
        <v>214</v>
      </c>
    </row>
    <row r="124" spans="2:5" x14ac:dyDescent="0.2">
      <c r="B124" s="31">
        <f xml:space="preserve"> ROW( co_regions[[#This Row],[ID]] ) - ROW( co_regions[[#Headers],[ID]] )</f>
        <v>2</v>
      </c>
      <c r="C124" s="9" t="s">
        <v>215</v>
      </c>
    </row>
    <row r="125" spans="2:5" x14ac:dyDescent="0.2">
      <c r="B125" s="31">
        <f xml:space="preserve"> ROW( co_regions[[#This Row],[ID]] ) - ROW( co_regions[[#Headers],[ID]] )</f>
        <v>3</v>
      </c>
      <c r="C125" s="9" t="s">
        <v>216</v>
      </c>
    </row>
    <row r="126" spans="2:5" x14ac:dyDescent="0.2">
      <c r="B126" s="31">
        <f xml:space="preserve"> ROW( co_regions[[#This Row],[ID]] ) - ROW( co_regions[[#Headers],[ID]] )</f>
        <v>4</v>
      </c>
      <c r="C126" s="9" t="s">
        <v>217</v>
      </c>
    </row>
    <row r="127" spans="2:5" x14ac:dyDescent="0.2">
      <c r="B127" s="31">
        <f xml:space="preserve"> ROW( co_regions[[#This Row],[ID]] ) - ROW( co_regions[[#Headers],[ID]] )</f>
        <v>5</v>
      </c>
      <c r="C127" s="9" t="s">
        <v>218</v>
      </c>
    </row>
    <row r="128" spans="2:5" x14ac:dyDescent="0.2">
      <c r="B128" s="31">
        <f xml:space="preserve"> ROW( co_regions[[#This Row],[ID]] ) - ROW( co_regions[[#Headers],[ID]] )</f>
        <v>6</v>
      </c>
      <c r="C128" s="9" t="s">
        <v>219</v>
      </c>
    </row>
    <row r="129" spans="2:3" x14ac:dyDescent="0.2">
      <c r="B129" s="31">
        <f xml:space="preserve"> ROW( co_regions[[#This Row],[ID]] ) - ROW( co_regions[[#Headers],[ID]] )</f>
        <v>7</v>
      </c>
      <c r="C129" s="9" t="s">
        <v>220</v>
      </c>
    </row>
    <row r="130" spans="2:3" x14ac:dyDescent="0.2">
      <c r="B130" s="31">
        <f xml:space="preserve"> ROW( co_regions[[#This Row],[ID]] ) - ROW( co_regions[[#Headers],[ID]] )</f>
        <v>8</v>
      </c>
      <c r="C130" s="9" t="s">
        <v>36</v>
      </c>
    </row>
    <row r="133" spans="2:3" x14ac:dyDescent="0.2">
      <c r="B133" s="6" t="s">
        <v>221</v>
      </c>
    </row>
    <row r="134" spans="2:3" x14ac:dyDescent="0.2">
      <c r="B134" s="6" t="s">
        <v>100</v>
      </c>
      <c r="C134" s="6" t="s">
        <v>38</v>
      </c>
    </row>
    <row r="135" spans="2:3" x14ac:dyDescent="0.2">
      <c r="B135" s="31">
        <f xml:space="preserve"> ROW( co_years[[#This Row],[ID]] ) - ROW( co_years[[#Headers],[ID]] )</f>
        <v>1</v>
      </c>
      <c r="C135" s="12">
        <f xml:space="preserve"> 2010 + ( co_years[[#This Row],[ID]] - 1 ) * 5</f>
        <v>2010</v>
      </c>
    </row>
    <row r="136" spans="2:3" x14ac:dyDescent="0.2">
      <c r="B136" s="31">
        <f xml:space="preserve"> ROW( co_years[[#This Row],[ID]] ) - ROW( co_years[[#Headers],[ID]] )</f>
        <v>2</v>
      </c>
      <c r="C136" s="12">
        <f xml:space="preserve"> 2010 + ( co_years[[#This Row],[ID]] - 1 ) * 5</f>
        <v>2015</v>
      </c>
    </row>
    <row r="137" spans="2:3" x14ac:dyDescent="0.2">
      <c r="B137" s="31">
        <f xml:space="preserve"> ROW( co_years[[#This Row],[ID]] ) - ROW( co_years[[#Headers],[ID]] )</f>
        <v>3</v>
      </c>
      <c r="C137" s="12">
        <f xml:space="preserve"> 2010 + ( co_years[[#This Row],[ID]] - 1 ) * 5</f>
        <v>2020</v>
      </c>
    </row>
    <row r="138" spans="2:3" x14ac:dyDescent="0.2">
      <c r="B138" s="31">
        <f xml:space="preserve"> ROW( co_years[[#This Row],[ID]] ) - ROW( co_years[[#Headers],[ID]] )</f>
        <v>4</v>
      </c>
      <c r="C138" s="12">
        <f xml:space="preserve"> 2010 + ( co_years[[#This Row],[ID]] - 1 ) * 5</f>
        <v>2025</v>
      </c>
    </row>
    <row r="139" spans="2:3" x14ac:dyDescent="0.2">
      <c r="B139" s="31">
        <f xml:space="preserve"> ROW( co_years[[#This Row],[ID]] ) - ROW( co_years[[#Headers],[ID]] )</f>
        <v>5</v>
      </c>
      <c r="C139" s="12">
        <f xml:space="preserve"> 2010 + ( co_years[[#This Row],[ID]] - 1 ) * 5</f>
        <v>2030</v>
      </c>
    </row>
    <row r="140" spans="2:3" x14ac:dyDescent="0.2">
      <c r="B140" s="31">
        <f xml:space="preserve"> ROW( co_years[[#This Row],[ID]] ) - ROW( co_years[[#Headers],[ID]] )</f>
        <v>6</v>
      </c>
      <c r="C140" s="12">
        <f xml:space="preserve"> 2010 + ( co_years[[#This Row],[ID]] - 1 ) * 5</f>
        <v>2035</v>
      </c>
    </row>
    <row r="141" spans="2:3" x14ac:dyDescent="0.2">
      <c r="B141" s="31">
        <f xml:space="preserve"> ROW( co_years[[#This Row],[ID]] ) - ROW( co_years[[#Headers],[ID]] )</f>
        <v>7</v>
      </c>
      <c r="C141" s="12">
        <f xml:space="preserve"> 2010 + ( co_years[[#This Row],[ID]] - 1 ) * 5</f>
        <v>2040</v>
      </c>
    </row>
    <row r="142" spans="2:3" x14ac:dyDescent="0.2">
      <c r="B142" s="31">
        <f xml:space="preserve"> ROW( co_years[[#This Row],[ID]] ) - ROW( co_years[[#Headers],[ID]] )</f>
        <v>8</v>
      </c>
      <c r="C142" s="12">
        <f xml:space="preserve"> 2010 + ( co_years[[#This Row],[ID]] - 1 ) * 5</f>
        <v>2045</v>
      </c>
    </row>
    <row r="143" spans="2:3" x14ac:dyDescent="0.2">
      <c r="B143" s="31">
        <f xml:space="preserve"> ROW( co_years[[#This Row],[ID]] ) - ROW( co_years[[#Headers],[ID]] )</f>
        <v>9</v>
      </c>
      <c r="C143" s="12">
        <f xml:space="preserve"> 2010 + ( co_years[[#This Row],[ID]] - 1 ) * 5</f>
        <v>2050</v>
      </c>
    </row>
    <row r="144" spans="2:3" x14ac:dyDescent="0.2">
      <c r="B144" s="31">
        <f xml:space="preserve"> ROW( co_years[[#This Row],[ID]] ) - ROW( co_years[[#Headers],[ID]] )</f>
        <v>10</v>
      </c>
      <c r="C144" s="12">
        <f xml:space="preserve"> 2010 + ( co_years[[#This Row],[ID]] - 1 ) * 5</f>
        <v>2055</v>
      </c>
    </row>
    <row r="145" spans="2:5" x14ac:dyDescent="0.2">
      <c r="B145" s="31">
        <f xml:space="preserve"> ROW( co_years[[#This Row],[ID]] ) - ROW( co_years[[#Headers],[ID]] )</f>
        <v>11</v>
      </c>
      <c r="C145" s="12">
        <f xml:space="preserve"> 2010 + ( co_years[[#This Row],[ID]] - 1 ) * 5</f>
        <v>2060</v>
      </c>
    </row>
    <row r="146" spans="2:5" x14ac:dyDescent="0.2">
      <c r="B146" s="31">
        <f xml:space="preserve"> ROW( co_years[[#This Row],[ID]] ) - ROW( co_years[[#Headers],[ID]] )</f>
        <v>12</v>
      </c>
      <c r="C146" s="12">
        <f xml:space="preserve"> 2010 + ( co_years[[#This Row],[ID]] - 1 ) * 5</f>
        <v>2065</v>
      </c>
    </row>
    <row r="147" spans="2:5" x14ac:dyDescent="0.2">
      <c r="B147" s="31">
        <f xml:space="preserve"> ROW( co_years[[#This Row],[ID]] ) - ROW( co_years[[#Headers],[ID]] )</f>
        <v>13</v>
      </c>
      <c r="C147" s="12">
        <f xml:space="preserve"> 2010 + ( co_years[[#This Row],[ID]] - 1 ) * 5</f>
        <v>2070</v>
      </c>
    </row>
    <row r="148" spans="2:5" x14ac:dyDescent="0.2">
      <c r="B148" s="31">
        <f xml:space="preserve"> ROW( co_years[[#This Row],[ID]] ) - ROW( co_years[[#Headers],[ID]] )</f>
        <v>14</v>
      </c>
      <c r="C148" s="12">
        <f xml:space="preserve"> 2010 + ( co_years[[#This Row],[ID]] - 1 ) * 5</f>
        <v>2075</v>
      </c>
    </row>
    <row r="149" spans="2:5" x14ac:dyDescent="0.2">
      <c r="B149" s="31">
        <f xml:space="preserve"> ROW( co_years[[#This Row],[ID]] ) - ROW( co_years[[#Headers],[ID]] )</f>
        <v>15</v>
      </c>
      <c r="C149" s="12">
        <f xml:space="preserve"> 2010 + ( co_years[[#This Row],[ID]] - 1 ) * 5</f>
        <v>2080</v>
      </c>
    </row>
    <row r="150" spans="2:5" x14ac:dyDescent="0.2">
      <c r="B150" s="31">
        <f xml:space="preserve"> ROW( co_years[[#This Row],[ID]] ) - ROW( co_years[[#Headers],[ID]] )</f>
        <v>16</v>
      </c>
      <c r="C150" s="12">
        <f xml:space="preserve"> 2010 + ( co_years[[#This Row],[ID]] - 1 ) * 5</f>
        <v>2085</v>
      </c>
    </row>
    <row r="151" spans="2:5" x14ac:dyDescent="0.2">
      <c r="B151" s="31">
        <f xml:space="preserve"> ROW( co_years[[#This Row],[ID]] ) - ROW( co_years[[#Headers],[ID]] )</f>
        <v>17</v>
      </c>
      <c r="C151" s="12">
        <f xml:space="preserve"> 2010 + ( co_years[[#This Row],[ID]] - 1 ) * 5</f>
        <v>2090</v>
      </c>
    </row>
    <row r="153" spans="2:5" x14ac:dyDescent="0.2">
      <c r="B153" s="6" t="s">
        <v>222</v>
      </c>
    </row>
    <row r="154" spans="2:5" x14ac:dyDescent="0.2">
      <c r="B154" s="6" t="s">
        <v>100</v>
      </c>
      <c r="C154" s="6" t="s">
        <v>83</v>
      </c>
      <c r="D154" s="6" t="s">
        <v>160</v>
      </c>
      <c r="E154" s="6" t="s">
        <v>223</v>
      </c>
    </row>
    <row r="155" spans="2:5" x14ac:dyDescent="0.2">
      <c r="B155" s="31">
        <f xml:space="preserve"> ROW( svValidTypes[[#This Row],[ID]] ) - ROW( svValidTypes[[#Headers],[ID]] )</f>
        <v>1</v>
      </c>
      <c r="C155" s="9" t="s">
        <v>161</v>
      </c>
      <c r="D155" s="9" t="s">
        <v>23</v>
      </c>
      <c r="E155" s="9" t="s">
        <v>237</v>
      </c>
    </row>
    <row r="156" spans="2:5" x14ac:dyDescent="0.2">
      <c r="B156" s="31">
        <f xml:space="preserve"> ROW( svValidTypes[[#This Row],[ID]] ) - ROW( svValidTypes[[#Headers],[ID]] )</f>
        <v>2</v>
      </c>
      <c r="C156" s="9" t="s">
        <v>162</v>
      </c>
      <c r="D156" s="9" t="s">
        <v>33</v>
      </c>
      <c r="E156" s="9" t="s">
        <v>237</v>
      </c>
    </row>
    <row r="157" spans="2:5" x14ac:dyDescent="0.2">
      <c r="B157" s="31">
        <f xml:space="preserve"> ROW( svValidTypes[[#This Row],[ID]] ) - ROW( svValidTypes[[#Headers],[ID]] )</f>
        <v>3</v>
      </c>
      <c r="C157" s="9" t="s">
        <v>163</v>
      </c>
      <c r="D157" s="9" t="s">
        <v>27</v>
      </c>
      <c r="E157" s="9" t="s">
        <v>238</v>
      </c>
    </row>
    <row r="158" spans="2:5" x14ac:dyDescent="0.2">
      <c r="B158" s="31">
        <f xml:space="preserve"> ROW( svValidTypes[[#This Row],[ID]] ) - ROW( svValidTypes[[#Headers],[ID]] )</f>
        <v>4</v>
      </c>
      <c r="C158" s="9" t="s">
        <v>164</v>
      </c>
      <c r="D158" s="9" t="s">
        <v>29</v>
      </c>
      <c r="E158" s="9" t="s">
        <v>224</v>
      </c>
    </row>
  </sheetData>
  <phoneticPr fontId="3" type="noConversion"/>
  <pageMargins left="0.7" right="0.7" top="0.75" bottom="0.75" header="0.3" footer="0.3"/>
  <pageSetup orientation="portrait"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ReadMe</vt:lpstr>
      <vt:lpstr>Impacts</vt:lpstr>
      <vt:lpstr>Risk</vt:lpstr>
      <vt:lpstr>Rates</vt:lpstr>
      <vt:lpstr>FrEDI Outputs 1</vt:lpstr>
      <vt:lpstr>FrEDI Outputs 2</vt:lpstr>
      <vt:lpstr>Control Panel</vt:lpstr>
      <vt:lpstr>input_adapt1</vt:lpstr>
      <vt:lpstr>input_date</vt:lpstr>
      <vt:lpstr>input_impacts1</vt:lpstr>
      <vt:lpstr>input_impacts2</vt:lpstr>
      <vt:lpstr>input_outputs2</vt:lpstr>
      <vt:lpstr>input_rates1</vt:lpstr>
      <vt:lpstr>input_rates2</vt:lpstr>
      <vt:lpstr>input_rates3</vt:lpstr>
      <vt:lpstr>input_rates4</vt:lpstr>
      <vt:lpstr>input_risk1</vt:lpstr>
      <vt:lpstr>input_sector</vt:lpstr>
      <vt:lpstr>list_regions</vt:lpstr>
      <vt:lpstr>list_scenarios</vt:lpstr>
      <vt:lpstr>list_svGroups</vt:lpstr>
      <vt:lpstr>list_years</vt:lpstr>
      <vt:lpstr>mv_sector</vt:lpstr>
      <vt:lpstr>n_ethnicities</vt:lpstr>
      <vt:lpstr>n_scenarios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Maddock</dc:creator>
  <cp:keywords/>
  <dc:description/>
  <cp:lastModifiedBy>Will Maddock</cp:lastModifiedBy>
  <cp:revision/>
  <dcterms:created xsi:type="dcterms:W3CDTF">2015-06-05T18:17:20Z</dcterms:created>
  <dcterms:modified xsi:type="dcterms:W3CDTF">2022-11-08T22:31:53Z</dcterms:modified>
  <cp:category/>
  <cp:contentStatus/>
</cp:coreProperties>
</file>