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updateLinks="never" codeName="ThisWorkbook" defaultThemeVersion="166925"/>
  <xr:revisionPtr revIDLastSave="5" documentId="13_ncr:1_{54DDC611-3E88-4782-99DA-C95C8B9009E4}" xr6:coauthVersionLast="47" xr6:coauthVersionMax="47" xr10:uidLastSave="{2A9E9653-5C51-44A7-9E50-0ED4917C04AA}"/>
  <bookViews>
    <workbookView xWindow="9480" yWindow="-15030" windowWidth="21600" windowHeight="11295" tabRatio="764" activeTab="2" xr2:uid="{00000000-000D-0000-FFFF-FFFF00000000}"/>
  </bookViews>
  <sheets>
    <sheet name="ReadMe" sheetId="48" r:id="rId1"/>
    <sheet name="tableNames" sheetId="43" r:id="rId2"/>
    <sheet name="testDev" sheetId="53"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controlTables!$D$211</definedName>
    <definedName name="k_coMillions">controlTables!$D$212</definedName>
    <definedName name="k_coThousands">controlTables!$D$213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43" l="1"/>
  <c r="F18" i="43"/>
  <c r="B19" i="43"/>
  <c r="F19" i="43"/>
  <c r="B113" i="24"/>
  <c r="I113" i="24"/>
  <c r="J113" i="24" a="1"/>
  <c r="J113" i="24" s="1"/>
  <c r="K113" i="24" a="1"/>
  <c r="K113" i="24" s="1"/>
  <c r="B153" i="24"/>
  <c r="Q153" i="24"/>
  <c r="R153" i="24" a="1"/>
  <c r="R153" i="24" s="1"/>
  <c r="U153" i="24" a="1"/>
  <c r="U153" i="24" s="1"/>
  <c r="B154" i="24"/>
  <c r="Q154" i="24"/>
  <c r="R154" i="24" a="1"/>
  <c r="R154" i="24" s="1"/>
  <c r="U154" i="24" a="1"/>
  <c r="U154" i="24" s="1"/>
  <c r="B155" i="24"/>
  <c r="Q155" i="24"/>
  <c r="R155" i="24" a="1"/>
  <c r="R155" i="24" s="1"/>
  <c r="U155" i="24" a="1"/>
  <c r="U155" i="24" s="1"/>
  <c r="B65" i="24"/>
  <c r="D65" i="24" a="1"/>
  <c r="D65" i="24" s="1"/>
  <c r="M38" i="24" s="1" a="1"/>
  <c r="M38" i="24" s="1"/>
  <c r="E65" i="24" a="1"/>
  <c r="E65" i="24" s="1"/>
  <c r="F65" i="24" a="1"/>
  <c r="F65" i="24" s="1"/>
  <c r="B38" i="24"/>
  <c r="K38" i="24" a="1"/>
  <c r="K38" i="24" s="1"/>
  <c r="L38" i="24" a="1"/>
  <c r="L38" i="24" s="1"/>
  <c r="O38" i="24" a="1"/>
  <c r="O38" i="24" s="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I38" i="24"/>
  <c r="G19" i="43" a="1"/>
  <c r="K19" i="43" a="1"/>
  <c r="K18" i="43" a="1"/>
  <c r="G18" i="43" a="1"/>
  <c r="G18" i="43" l="1"/>
  <c r="K18" i="43"/>
  <c r="G19" i="43"/>
  <c r="K19" i="43"/>
  <c r="B18" i="53"/>
  <c r="B19" i="53"/>
  <c r="B20" i="53"/>
  <c r="B21" i="53"/>
  <c r="B22" i="53"/>
  <c r="B23" i="53"/>
  <c r="B24" i="53"/>
  <c r="B25" i="53"/>
  <c r="B26" i="53"/>
  <c r="B27" i="53"/>
  <c r="B28" i="53"/>
  <c r="B20" i="43"/>
  <c r="F20" i="43"/>
  <c r="B17" i="53"/>
  <c r="B16" i="53"/>
  <c r="B15" i="53"/>
  <c r="B14" i="53"/>
  <c r="B13" i="53"/>
  <c r="B12" i="53"/>
  <c r="B11" i="53"/>
  <c r="B10" i="53"/>
  <c r="B9" i="53"/>
  <c r="B8" i="53"/>
  <c r="B7" i="53"/>
  <c r="B6" i="53"/>
  <c r="B5" i="53"/>
  <c r="B4" i="53"/>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J18" i="43" a="1"/>
  <c r="G20" i="43" a="1"/>
  <c r="J19" i="43" a="1"/>
  <c r="K20" i="43" a="1"/>
  <c r="H20" i="43"/>
  <c r="J20" i="43" a="1"/>
  <c r="J18" i="43" l="1"/>
  <c r="L18" i="43" s="1"/>
  <c r="J19" i="43"/>
  <c r="L19" i="43" s="1"/>
  <c r="J20" i="43"/>
  <c r="G20" i="43"/>
  <c r="I20" i="43" s="1"/>
  <c r="K20" i="43"/>
  <c r="K21" i="24" a="1"/>
  <c r="K21" i="24" s="1"/>
  <c r="B87" i="24"/>
  <c r="I87" i="24"/>
  <c r="J87" i="24" a="1"/>
  <c r="J87" i="24" s="1"/>
  <c r="K87" i="24" a="1"/>
  <c r="K87" i="24" s="1"/>
  <c r="B88" i="24"/>
  <c r="I88" i="24"/>
  <c r="J88" i="24" a="1"/>
  <c r="J88" i="24" s="1"/>
  <c r="K88" i="24" a="1"/>
  <c r="K88"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3" i="24" a="1"/>
  <c r="K83" i="24" s="1"/>
  <c r="K84" i="24" a="1"/>
  <c r="K84" i="24" s="1"/>
  <c r="K77" i="24" a="1"/>
  <c r="K77" i="24" s="1"/>
  <c r="K78" i="24" a="1"/>
  <c r="K78" i="24" s="1"/>
  <c r="K79" i="24" a="1"/>
  <c r="K79" i="24" s="1"/>
  <c r="K86" i="24" a="1"/>
  <c r="K86" i="24" s="1"/>
  <c r="K89" i="24" a="1"/>
  <c r="K89" i="24" s="1"/>
  <c r="K90" i="24" a="1"/>
  <c r="K90" i="24" s="1"/>
  <c r="K91" i="24" a="1"/>
  <c r="K91" i="24" s="1"/>
  <c r="K92" i="24" a="1"/>
  <c r="K92" i="24" s="1"/>
  <c r="K93" i="24" a="1"/>
  <c r="K93" i="24" s="1"/>
  <c r="K94" i="24" a="1"/>
  <c r="K94" i="24" s="1"/>
  <c r="K95" i="24" a="1"/>
  <c r="K95" i="24" s="1"/>
  <c r="K96" i="24" a="1"/>
  <c r="K96" i="24" s="1"/>
  <c r="K97" i="24" a="1"/>
  <c r="K97" i="24" s="1"/>
  <c r="K80" i="24" a="1"/>
  <c r="K80" i="24" s="1"/>
  <c r="K81" i="24" a="1"/>
  <c r="K81" i="24" s="1"/>
  <c r="K82" i="24" a="1"/>
  <c r="K82"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4" i="24" a="1"/>
  <c r="K114" i="24" s="1"/>
  <c r="K115" i="24" a="1"/>
  <c r="K115" i="24" s="1"/>
  <c r="K116" i="24" a="1"/>
  <c r="K116" i="24" s="1"/>
  <c r="K117" i="24" a="1"/>
  <c r="K117" i="24" s="1"/>
  <c r="K85" i="24" a="1"/>
  <c r="K85" i="24" s="1"/>
  <c r="B22" i="24"/>
  <c r="B19" i="24"/>
  <c r="B20" i="24"/>
  <c r="B24" i="24"/>
  <c r="B25" i="24"/>
  <c r="B26" i="24"/>
  <c r="B27" i="24"/>
  <c r="B28" i="24"/>
  <c r="B21" i="24"/>
  <c r="B29" i="24"/>
  <c r="B30" i="24"/>
  <c r="B31" i="24"/>
  <c r="B32" i="24"/>
  <c r="B33" i="24"/>
  <c r="B34" i="24"/>
  <c r="B35" i="24"/>
  <c r="B36" i="24"/>
  <c r="B37" i="24"/>
  <c r="B39" i="24"/>
  <c r="B40" i="24"/>
  <c r="B41" i="24"/>
  <c r="B42" i="24"/>
  <c r="B23" i="24"/>
  <c r="B125" i="24"/>
  <c r="Q125" i="24"/>
  <c r="R125" i="24" a="1"/>
  <c r="R125" i="24" s="1"/>
  <c r="U125" i="24" a="1"/>
  <c r="U125" i="24" s="1"/>
  <c r="I80" i="24"/>
  <c r="I81" i="24"/>
  <c r="I82" i="24"/>
  <c r="B80" i="24"/>
  <c r="J80" i="24" a="1"/>
  <c r="J80" i="24" s="1"/>
  <c r="B81" i="24"/>
  <c r="J81" i="24" a="1"/>
  <c r="J81" i="24" s="1"/>
  <c r="B82" i="24"/>
  <c r="J82" i="24" a="1"/>
  <c r="J82" i="24" s="1"/>
  <c r="B49" i="24"/>
  <c r="D49" i="24" a="1"/>
  <c r="D49" i="24" s="1"/>
  <c r="M21" i="24" s="1" a="1"/>
  <c r="M21" i="24" s="1"/>
  <c r="E49" i="24" a="1"/>
  <c r="E49" i="24" s="1"/>
  <c r="F49" i="24" a="1"/>
  <c r="F49"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L20" i="43" l="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1" i="24"/>
  <c r="K181" i="24" a="1"/>
  <c r="K181" i="24" s="1"/>
  <c r="B131" i="24"/>
  <c r="Q131" i="24"/>
  <c r="R131" i="24" a="1"/>
  <c r="R131" i="24" s="1"/>
  <c r="S131" i="24" a="1"/>
  <c r="S131" i="24" s="1"/>
  <c r="U131" i="24" a="1"/>
  <c r="U131" i="24" s="1"/>
  <c r="B130" i="24"/>
  <c r="Q130" i="24"/>
  <c r="R130" i="24" a="1"/>
  <c r="R130" i="24" s="1"/>
  <c r="U130" i="24" a="1"/>
  <c r="U130" i="24" s="1"/>
  <c r="B85" i="24"/>
  <c r="I85" i="24"/>
  <c r="J85" i="24" a="1"/>
  <c r="J85" i="24" s="1"/>
  <c r="B51" i="24"/>
  <c r="D51" i="24" a="1"/>
  <c r="D51" i="24" s="1"/>
  <c r="E51" i="24" a="1"/>
  <c r="E51" i="24" s="1"/>
  <c r="F51" i="24" a="1"/>
  <c r="F51"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2" i="24" a="1"/>
  <c r="R122" i="24" s="1"/>
  <c r="R123" i="24" a="1"/>
  <c r="R123" i="24" s="1"/>
  <c r="R124" i="24" a="1"/>
  <c r="R124" i="24" s="1"/>
  <c r="R133" i="24" a="1"/>
  <c r="R133" i="24" s="1"/>
  <c r="R134" i="24" a="1"/>
  <c r="R134" i="24" s="1"/>
  <c r="R135" i="24" a="1"/>
  <c r="R135" i="24" s="1"/>
  <c r="R136" i="24" a="1"/>
  <c r="R136" i="24" s="1"/>
  <c r="R137" i="24" a="1"/>
  <c r="R137" i="24" s="1"/>
  <c r="R138" i="24" a="1"/>
  <c r="R138" i="24" s="1"/>
  <c r="R139" i="24" a="1"/>
  <c r="R139" i="24" s="1"/>
  <c r="R140" i="24" a="1"/>
  <c r="R140" i="24" s="1"/>
  <c r="R142" i="24" a="1"/>
  <c r="R142" i="24" s="1"/>
  <c r="R143" i="24" a="1"/>
  <c r="R143" i="24" s="1"/>
  <c r="R144" i="24" a="1"/>
  <c r="R144" i="24" s="1"/>
  <c r="R145" i="24" a="1"/>
  <c r="R145" i="24" s="1"/>
  <c r="R146" i="24" a="1"/>
  <c r="R146" i="24" s="1"/>
  <c r="R147" i="24" a="1"/>
  <c r="R147" i="24" s="1"/>
  <c r="R148" i="24" a="1"/>
  <c r="R148" i="24" s="1"/>
  <c r="R149" i="24" a="1"/>
  <c r="R149" i="24" s="1"/>
  <c r="R152" i="24" a="1"/>
  <c r="R152" i="24" s="1"/>
  <c r="R151" i="24" a="1"/>
  <c r="R151" i="24" s="1"/>
  <c r="R150" i="24" a="1"/>
  <c r="R150" i="24" s="1"/>
  <c r="R156" i="24" a="1"/>
  <c r="R156" i="24" s="1"/>
  <c r="R157" i="24" a="1"/>
  <c r="R157" i="24" s="1"/>
  <c r="R158" i="24" a="1"/>
  <c r="R158" i="24" s="1"/>
  <c r="R159" i="24" a="1"/>
  <c r="R159" i="24" s="1"/>
  <c r="R160" i="24" a="1"/>
  <c r="R160" i="24" s="1"/>
  <c r="R161" i="24" a="1"/>
  <c r="R161" i="24" s="1"/>
  <c r="R162" i="24" a="1"/>
  <c r="R162" i="24" s="1"/>
  <c r="R163" i="24" a="1"/>
  <c r="R163" i="24" s="1"/>
  <c r="R132" i="24" a="1"/>
  <c r="R132" i="24" s="1"/>
  <c r="R141" i="24" a="1"/>
  <c r="R141" i="24" s="1"/>
  <c r="R126" i="24" a="1"/>
  <c r="R126" i="24" s="1"/>
  <c r="R127" i="24" a="1"/>
  <c r="R127" i="24" s="1"/>
  <c r="R128" i="24" a="1"/>
  <c r="R128" i="24" s="1"/>
  <c r="R129" i="24" a="1"/>
  <c r="R129" i="24" s="1"/>
  <c r="Q126" i="24"/>
  <c r="Q127" i="24"/>
  <c r="Q128" i="24"/>
  <c r="Q129" i="24"/>
  <c r="S126" i="24" a="1"/>
  <c r="S126" i="24" s="1"/>
  <c r="S127" i="24" a="1"/>
  <c r="S127" i="24" s="1"/>
  <c r="S128" i="24" a="1"/>
  <c r="S128" i="24" s="1"/>
  <c r="S129" i="24" a="1"/>
  <c r="S129" i="24" s="1"/>
  <c r="T126" i="24" a="1"/>
  <c r="T126" i="24" s="1"/>
  <c r="T127" i="24" a="1"/>
  <c r="T127" i="24" s="1"/>
  <c r="T128" i="24" a="1"/>
  <c r="T128" i="24" s="1"/>
  <c r="T129" i="24" a="1"/>
  <c r="T129" i="24" s="1"/>
  <c r="U126" i="24" a="1"/>
  <c r="U126" i="24" s="1"/>
  <c r="U127" i="24" a="1"/>
  <c r="U127" i="24" s="1"/>
  <c r="U128" i="24" a="1"/>
  <c r="U128" i="24" s="1"/>
  <c r="U129" i="24" a="1"/>
  <c r="U129" i="24" s="1"/>
  <c r="B126" i="24"/>
  <c r="B127" i="24"/>
  <c r="B128" i="24"/>
  <c r="B129" i="24"/>
  <c r="B84" i="24"/>
  <c r="I84" i="24"/>
  <c r="J84" i="24" a="1"/>
  <c r="J84" i="24" s="1"/>
  <c r="I83" i="24"/>
  <c r="J83" i="24" a="1"/>
  <c r="J83" i="24" s="1"/>
  <c r="B83" i="24"/>
  <c r="B50" i="24"/>
  <c r="D50" i="24" a="1"/>
  <c r="D50" i="24" s="1"/>
  <c r="M22" i="24" s="1" a="1"/>
  <c r="M22" i="24" s="1"/>
  <c r="E50" i="24" a="1"/>
  <c r="E50" i="24" s="1"/>
  <c r="F50" i="24" a="1"/>
  <c r="F50"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2" i="24"/>
  <c r="Q132" i="24"/>
  <c r="U132" i="24" a="1"/>
  <c r="U132" i="24" s="1"/>
  <c r="I103" i="24"/>
  <c r="B86" i="24"/>
  <c r="I86" i="24"/>
  <c r="J86" i="24" a="1"/>
  <c r="J86" i="24" s="1"/>
  <c r="D60" i="24" a="1"/>
  <c r="D60" i="24" s="1"/>
  <c r="E60" i="24" a="1"/>
  <c r="E60" i="24" s="1"/>
  <c r="F60" i="24" a="1"/>
  <c r="F60" i="24" s="1"/>
  <c r="B52" i="24"/>
  <c r="B60"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3" i="24"/>
  <c r="B141" i="24"/>
  <c r="Q141" i="24"/>
  <c r="S141" i="24" a="1"/>
  <c r="S141" i="24" s="1"/>
  <c r="U141" i="24" a="1"/>
  <c r="U141" i="24" s="1"/>
  <c r="J103" i="24" a="1"/>
  <c r="J103" i="24" s="1"/>
  <c r="D52" i="24" a="1"/>
  <c r="D52" i="24" s="1"/>
  <c r="M24" i="24" s="1" a="1"/>
  <c r="M24" i="24" s="1"/>
  <c r="E52" i="24" a="1"/>
  <c r="E52" i="24" s="1"/>
  <c r="F52" i="24" a="1"/>
  <c r="F52"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H19" i="43"/>
  <c r="K8" i="43" a="1"/>
  <c r="I24" i="24"/>
  <c r="I32" i="24"/>
  <c r="H18" i="43"/>
  <c r="H8" i="43"/>
  <c r="I19" i="43" l="1"/>
  <c r="I18" i="43"/>
  <c r="M32" i="24" a="1"/>
  <c r="M32" i="24" s="1"/>
  <c r="K8" i="43"/>
  <c r="J8" i="43" a="1"/>
  <c r="G8" i="43" a="1"/>
  <c r="J8" i="43" l="1"/>
  <c r="L8" i="43" s="1"/>
  <c r="G8" i="43"/>
  <c r="I8" i="43" s="1"/>
  <c r="O41" i="24" a="1"/>
  <c r="O41" i="24" s="1"/>
  <c r="L41" i="24" a="1"/>
  <c r="L41" i="24" s="1"/>
  <c r="K41" i="24" a="1"/>
  <c r="K41" i="24" s="1"/>
  <c r="B232" i="24"/>
  <c r="E232" i="24"/>
  <c r="F232" i="24" s="1"/>
  <c r="B160" i="24"/>
  <c r="Q160" i="24"/>
  <c r="U160" i="24" a="1"/>
  <c r="U160" i="24" s="1"/>
  <c r="B116" i="24"/>
  <c r="I116" i="24"/>
  <c r="J116" i="24" a="1"/>
  <c r="J116" i="24" s="1"/>
  <c r="B69" i="24"/>
  <c r="D69" i="24" a="1"/>
  <c r="D69" i="24" s="1"/>
  <c r="M41" i="24" s="1" a="1"/>
  <c r="M41" i="24" s="1"/>
  <c r="E69" i="24" a="1"/>
  <c r="E69" i="24" s="1"/>
  <c r="F69" i="24" a="1"/>
  <c r="F69"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1" i="24"/>
  <c r="G232" i="24" l="1"/>
  <c r="O30" i="24" l="1" a="1"/>
  <c r="O30" i="24" s="1"/>
  <c r="L30" i="24" a="1"/>
  <c r="L30" i="24" s="1"/>
  <c r="L31" i="24" a="1"/>
  <c r="L31" i="24" s="1"/>
  <c r="L33" i="24" a="1"/>
  <c r="L33" i="24" s="1"/>
  <c r="L34" i="24" a="1"/>
  <c r="L34" i="24" s="1"/>
  <c r="L35" i="24" a="1"/>
  <c r="L35" i="24" s="1"/>
  <c r="L36" i="24" a="1"/>
  <c r="L36" i="24" s="1"/>
  <c r="L37" i="24" a="1"/>
  <c r="L37" i="24" s="1"/>
  <c r="L39" i="24" a="1"/>
  <c r="L39" i="24" s="1"/>
  <c r="L40" i="24" a="1"/>
  <c r="L40" i="24" s="1"/>
  <c r="L42" i="24" a="1"/>
  <c r="L42" i="24" s="1"/>
  <c r="K30" i="24" a="1"/>
  <c r="K30" i="24" s="1"/>
  <c r="B233" i="24"/>
  <c r="E233" i="24"/>
  <c r="F233" i="24" s="1"/>
  <c r="B139" i="24"/>
  <c r="Q139" i="24"/>
  <c r="U139" i="24" a="1"/>
  <c r="U139" i="24" s="1"/>
  <c r="B101" i="24"/>
  <c r="I101" i="24"/>
  <c r="J101" i="24" a="1"/>
  <c r="J101" i="24" s="1"/>
  <c r="B58" i="24"/>
  <c r="D58" i="24" a="1"/>
  <c r="D58" i="24" s="1"/>
  <c r="M30" i="24" s="1" a="1"/>
  <c r="M30" i="24" s="1"/>
  <c r="E58" i="24" a="1"/>
  <c r="E58" i="24" s="1"/>
  <c r="F58" i="24" a="1"/>
  <c r="F58" i="24" s="1"/>
  <c r="B2325" i="25"/>
  <c r="B2326" i="25"/>
  <c r="B2327" i="25"/>
  <c r="B2328" i="25"/>
  <c r="B2329" i="25"/>
  <c r="B2330" i="25"/>
  <c r="A2325" i="25"/>
  <c r="A2326" i="25"/>
  <c r="A2327" i="25"/>
  <c r="A2328" i="25"/>
  <c r="A2329" i="25"/>
  <c r="A2330" i="25"/>
  <c r="A2324" i="25"/>
  <c r="B2324" i="25"/>
  <c r="I30" i="24"/>
  <c r="G233" i="24" l="1"/>
  <c r="F257" i="24" l="1"/>
  <c r="F258" i="24"/>
  <c r="F259" i="24"/>
  <c r="F260" i="24"/>
  <c r="G257" i="24"/>
  <c r="G258" i="24"/>
  <c r="G259" i="24"/>
  <c r="G260" i="24"/>
  <c r="B17" i="43"/>
  <c r="F17" i="43"/>
  <c r="J257" i="24"/>
  <c r="J258" i="24"/>
  <c r="J259" i="24"/>
  <c r="J260" i="24"/>
  <c r="B260" i="24"/>
  <c r="B259" i="24"/>
  <c r="B258" i="24"/>
  <c r="B257" i="24"/>
  <c r="C9" i="24"/>
  <c r="C11" i="24"/>
  <c r="C6" i="24"/>
  <c r="G17" i="43" a="1"/>
  <c r="C8" i="24"/>
  <c r="K17" i="43" a="1"/>
  <c r="C12" i="24"/>
  <c r="C3" i="24"/>
  <c r="C10" i="24"/>
  <c r="C7" i="24"/>
  <c r="K17" i="43" l="1"/>
  <c r="G17" i="43"/>
  <c r="H17" i="43"/>
  <c r="C2" i="24"/>
  <c r="J17" i="43" a="1"/>
  <c r="I17" i="43" l="1"/>
  <c r="J17" i="43"/>
  <c r="L17" i="43" s="1"/>
  <c r="U122" i="24" l="1" a="1"/>
  <c r="U122" i="24" s="1"/>
  <c r="U123" i="24" a="1"/>
  <c r="U123" i="24" s="1"/>
  <c r="U133" i="24" a="1"/>
  <c r="U133" i="24" s="1"/>
  <c r="U134" i="24" a="1"/>
  <c r="U134" i="24" s="1"/>
  <c r="U135" i="24" a="1"/>
  <c r="U135" i="24" s="1"/>
  <c r="U136" i="24" a="1"/>
  <c r="U136" i="24" s="1"/>
  <c r="U137" i="24" a="1"/>
  <c r="U137" i="24" s="1"/>
  <c r="U138" i="24" a="1"/>
  <c r="U138" i="24" s="1"/>
  <c r="U144" i="24" a="1"/>
  <c r="U144" i="24" s="1"/>
  <c r="U145" i="24" a="1"/>
  <c r="U145" i="24" s="1"/>
  <c r="U146" i="24" a="1"/>
  <c r="U146" i="24" s="1"/>
  <c r="U147" i="24" a="1"/>
  <c r="U147" i="24" s="1"/>
  <c r="U148" i="24" a="1"/>
  <c r="U148" i="24" s="1"/>
  <c r="U149" i="24" a="1"/>
  <c r="U149" i="24" s="1"/>
  <c r="U152" i="24" a="1"/>
  <c r="U152" i="24" s="1"/>
  <c r="U151" i="24" a="1"/>
  <c r="U151" i="24" s="1"/>
  <c r="U150" i="24" a="1"/>
  <c r="U150" i="24" s="1"/>
  <c r="U156" i="24" a="1"/>
  <c r="U156" i="24" s="1"/>
  <c r="U157" i="24" a="1"/>
  <c r="U157" i="24" s="1"/>
  <c r="U158" i="24" a="1"/>
  <c r="U158" i="24" s="1"/>
  <c r="U159" i="24" a="1"/>
  <c r="U159" i="24" s="1"/>
  <c r="U161" i="24" a="1"/>
  <c r="U161" i="24" s="1"/>
  <c r="U162" i="24" a="1"/>
  <c r="U162" i="24" s="1"/>
  <c r="U163" i="24" a="1"/>
  <c r="U163" i="24" s="1"/>
  <c r="S122" i="24" a="1"/>
  <c r="S122" i="24" s="1"/>
  <c r="S123" i="24" a="1"/>
  <c r="S123" i="24" s="1"/>
  <c r="S124" i="24" a="1"/>
  <c r="S124" i="24" s="1"/>
  <c r="S133" i="24" a="1"/>
  <c r="S133" i="24" s="1"/>
  <c r="S136" i="24" a="1"/>
  <c r="S136" i="24" s="1"/>
  <c r="S137" i="24" a="1"/>
  <c r="S137" i="24" s="1"/>
  <c r="S138" i="24" a="1"/>
  <c r="S138" i="24" s="1"/>
  <c r="S140" i="24" a="1"/>
  <c r="S140" i="24" s="1"/>
  <c r="S144" i="24" a="1"/>
  <c r="S144" i="24" s="1"/>
  <c r="S145" i="24" a="1"/>
  <c r="S145" i="24" s="1"/>
  <c r="S146" i="24" a="1"/>
  <c r="S146" i="24" s="1"/>
  <c r="S147" i="24" a="1"/>
  <c r="S147" i="24" s="1"/>
  <c r="S148" i="24" a="1"/>
  <c r="S148" i="24" s="1"/>
  <c r="S149" i="24" a="1"/>
  <c r="S149" i="24" s="1"/>
  <c r="S152" i="24" a="1"/>
  <c r="S152" i="24" s="1"/>
  <c r="S151" i="24" a="1"/>
  <c r="S151" i="24" s="1"/>
  <c r="S150" i="24" a="1"/>
  <c r="S150" i="24" s="1"/>
  <c r="S156" i="24" a="1"/>
  <c r="S156" i="24" s="1"/>
  <c r="S157" i="24" a="1"/>
  <c r="S157" i="24" s="1"/>
  <c r="S158" i="24" a="1"/>
  <c r="S158" i="24" s="1"/>
  <c r="S159" i="24" a="1"/>
  <c r="S159" i="24" s="1"/>
  <c r="S161" i="24" a="1"/>
  <c r="S161" i="24" s="1"/>
  <c r="S162" i="24" a="1"/>
  <c r="S162" i="24" s="1"/>
  <c r="S163" i="24" a="1"/>
  <c r="S163" i="24" s="1"/>
  <c r="T124" i="24" a="1"/>
  <c r="T124" i="24" s="1"/>
  <c r="T133" i="24" a="1"/>
  <c r="T133" i="24" s="1"/>
  <c r="T134" i="24" a="1"/>
  <c r="T134" i="24" s="1"/>
  <c r="T135" i="24" a="1"/>
  <c r="T135" i="24" s="1"/>
  <c r="T138" i="24" a="1"/>
  <c r="T138" i="24" s="1"/>
  <c r="T142" i="24" a="1"/>
  <c r="T142" i="24" s="1"/>
  <c r="T143" i="24" a="1"/>
  <c r="T143" i="24" s="1"/>
  <c r="T149" i="24" a="1"/>
  <c r="T149" i="24" s="1"/>
  <c r="T156" i="24" a="1"/>
  <c r="T156" i="24" s="1"/>
  <c r="T157" i="24" a="1"/>
  <c r="T157" i="24" s="1"/>
  <c r="T161" i="24" a="1"/>
  <c r="T161" i="24" s="1"/>
  <c r="T162" i="24" a="1"/>
  <c r="T162" i="24" s="1"/>
  <c r="T163" i="24" a="1"/>
  <c r="T163" i="24" s="1"/>
  <c r="K184" i="24" a="1"/>
  <c r="K184" i="24" s="1"/>
  <c r="K176" i="24" a="1"/>
  <c r="K176" i="24" s="1"/>
  <c r="K169" i="24" a="1"/>
  <c r="K169" i="24" s="1"/>
  <c r="K178" i="24" a="1"/>
  <c r="K178" i="24" s="1"/>
  <c r="K179" i="24" a="1"/>
  <c r="K179" i="24" s="1"/>
  <c r="K177" i="24" a="1"/>
  <c r="K177" i="24" s="1"/>
  <c r="K185" i="24" a="1"/>
  <c r="K185" i="24" s="1"/>
  <c r="K175" i="24" a="1"/>
  <c r="K175" i="24" s="1"/>
  <c r="K182" i="24" a="1"/>
  <c r="K182" i="24" s="1"/>
  <c r="K180" i="24" a="1"/>
  <c r="K180" i="24" s="1"/>
  <c r="K196" i="24" a="1"/>
  <c r="K196" i="24" s="1"/>
  <c r="K193" i="24" a="1"/>
  <c r="K193" i="24" s="1"/>
  <c r="K195" i="24" a="1"/>
  <c r="K195" i="24" s="1"/>
  <c r="K197" i="24" a="1"/>
  <c r="K197" i="24" s="1"/>
  <c r="K194" i="24" a="1"/>
  <c r="K194" i="24" s="1"/>
  <c r="K186" i="24" a="1"/>
  <c r="K186" i="24" s="1"/>
  <c r="K188" i="24" a="1"/>
  <c r="K188" i="24" s="1"/>
  <c r="K187" i="24" a="1"/>
  <c r="K187" i="24" s="1"/>
  <c r="K174" i="24" a="1"/>
  <c r="K174" i="24" s="1"/>
  <c r="K173" i="24" a="1"/>
  <c r="K173" i="24" s="1"/>
  <c r="K170" i="24" a="1"/>
  <c r="K170" i="24" s="1"/>
  <c r="K172" i="24" a="1"/>
  <c r="K172" i="24" s="1"/>
  <c r="K171" i="24" a="1"/>
  <c r="K171" i="24" s="1"/>
  <c r="K190" i="24" a="1"/>
  <c r="K190" i="24" s="1"/>
  <c r="K189" i="24" a="1"/>
  <c r="K189" i="24" s="1"/>
  <c r="K191" i="24" a="1"/>
  <c r="K191" i="24" s="1"/>
  <c r="K192" i="24" a="1"/>
  <c r="K192"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2" i="24"/>
  <c r="B124" i="24"/>
  <c r="Q124" i="24"/>
  <c r="B48" i="24"/>
  <c r="D48" i="24" a="1"/>
  <c r="D48" i="24" s="1"/>
  <c r="M20" i="24" s="1" a="1"/>
  <c r="M20" i="24" s="1"/>
  <c r="E48" i="24" a="1"/>
  <c r="E48" i="24" s="1"/>
  <c r="F48" i="24" a="1"/>
  <c r="F48" i="24" s="1"/>
  <c r="B79" i="24"/>
  <c r="I79" i="24"/>
  <c r="J79" i="24" a="1"/>
  <c r="J79"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6" i="24" l="1"/>
  <c r="G227" i="24"/>
  <c r="G228" i="24"/>
  <c r="G229" i="24"/>
  <c r="G230" i="24"/>
  <c r="G231" i="24"/>
  <c r="E226" i="24"/>
  <c r="E227" i="24"/>
  <c r="E228" i="24"/>
  <c r="E229" i="24"/>
  <c r="E230" i="24"/>
  <c r="E231" i="24"/>
  <c r="E234" i="24"/>
  <c r="G234" i="24" s="1"/>
  <c r="E235" i="24"/>
  <c r="G235" i="24" s="1"/>
  <c r="E236" i="24"/>
  <c r="G236" i="24" s="1"/>
  <c r="E237" i="24"/>
  <c r="G237" i="24" s="1"/>
  <c r="E238" i="24"/>
  <c r="G238" i="24" s="1"/>
  <c r="E239" i="24"/>
  <c r="G239"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6" i="24" l="1"/>
  <c r="D66" i="24" a="1"/>
  <c r="D66" i="24" s="1"/>
  <c r="M37" i="24" s="1" a="1"/>
  <c r="M37" i="24" s="1"/>
  <c r="E66" i="24" a="1"/>
  <c r="E66" i="24" s="1"/>
  <c r="F66" i="24" a="1"/>
  <c r="F66" i="24" s="1"/>
  <c r="A818" i="44"/>
  <c r="B818" i="44"/>
  <c r="C818" i="44"/>
  <c r="A819" i="44"/>
  <c r="B819" i="44"/>
  <c r="C819" i="44"/>
  <c r="B175" i="24"/>
  <c r="B182" i="24"/>
  <c r="A815" i="44"/>
  <c r="A816" i="44"/>
  <c r="A817" i="44"/>
  <c r="B815" i="44"/>
  <c r="B816" i="44"/>
  <c r="B817" i="44"/>
  <c r="C815" i="44"/>
  <c r="C816" i="44"/>
  <c r="C817" i="44"/>
  <c r="B151" i="24"/>
  <c r="B150" i="24"/>
  <c r="Q151" i="24"/>
  <c r="Q150" i="24"/>
  <c r="B190" i="24"/>
  <c r="B189" i="24"/>
  <c r="B191" i="24"/>
  <c r="B152" i="24"/>
  <c r="Q152" i="24"/>
  <c r="K37" i="24" a="1"/>
  <c r="K37" i="24" s="1"/>
  <c r="O37" i="24" a="1"/>
  <c r="O37" i="24" s="1"/>
  <c r="B112" i="24"/>
  <c r="I112" i="24"/>
  <c r="J112" i="24" a="1"/>
  <c r="J11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8"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9" i="24" a="1"/>
  <c r="O39" i="24" s="1"/>
  <c r="O40" i="24" a="1"/>
  <c r="O40" i="24" s="1"/>
  <c r="O42" i="24" a="1"/>
  <c r="O42" i="24" s="1"/>
  <c r="N219" i="24" l="1" a="1"/>
  <c r="N219" i="24" s="1"/>
  <c r="N38" i="24" s="1" a="1"/>
  <c r="N38" i="24" s="1"/>
  <c r="P38" i="24" s="1"/>
  <c r="N220" i="24" a="1"/>
  <c r="N220"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9" i="24" a="1"/>
  <c r="K39" i="24" s="1"/>
  <c r="K40" i="24" a="1"/>
  <c r="K40" i="24" s="1"/>
  <c r="K42" i="24" a="1"/>
  <c r="K42" i="24" s="1"/>
  <c r="N23" i="24" l="1" a="1"/>
  <c r="N23" i="24" s="1"/>
  <c r="P23" i="24" s="1"/>
  <c r="N21" i="24" a="1"/>
  <c r="N21" i="24" s="1"/>
  <c r="P21" i="24" s="1"/>
  <c r="N22" i="24" a="1"/>
  <c r="N22" i="24" s="1"/>
  <c r="P22" i="24" s="1"/>
  <c r="N32" i="24" a="1"/>
  <c r="N32" i="24" s="1"/>
  <c r="P32" i="24" s="1"/>
  <c r="N41" i="24" a="1"/>
  <c r="N41" i="24" s="1"/>
  <c r="P41" i="24" s="1"/>
  <c r="N24" i="24" a="1"/>
  <c r="N24" i="24" s="1"/>
  <c r="P24" i="24" s="1"/>
  <c r="N30" i="24" a="1"/>
  <c r="N30" i="24" s="1"/>
  <c r="P30" i="24" s="1"/>
  <c r="N20" i="24" a="1"/>
  <c r="N20" i="24" s="1"/>
  <c r="P20" i="24" s="1"/>
  <c r="N19" i="24" a="1"/>
  <c r="N19" i="24" s="1"/>
  <c r="N37" i="24" a="1"/>
  <c r="N37" i="24" s="1"/>
  <c r="P37" i="24" s="1"/>
  <c r="N33" i="24" a="1"/>
  <c r="N33" i="24" s="1"/>
  <c r="N31" i="24" a="1"/>
  <c r="N31" i="24" s="1"/>
  <c r="N42" i="24" a="1"/>
  <c r="N42" i="24" s="1"/>
  <c r="N29" i="24" a="1"/>
  <c r="N29" i="24" s="1"/>
  <c r="N40" i="24" a="1"/>
  <c r="N40" i="24" s="1"/>
  <c r="N27" i="24" a="1"/>
  <c r="N27" i="24" s="1"/>
  <c r="N39" i="24" a="1"/>
  <c r="N39" i="24" s="1"/>
  <c r="N28" i="24" a="1"/>
  <c r="N28" i="24" s="1"/>
  <c r="N36" i="24" a="1"/>
  <c r="N36" i="24" s="1"/>
  <c r="N26" i="24" a="1"/>
  <c r="N26" i="24" s="1"/>
  <c r="N35" i="24" a="1"/>
  <c r="N35" i="24" s="1"/>
  <c r="N34" i="24" a="1"/>
  <c r="N34" i="24" s="1"/>
  <c r="B16" i="43"/>
  <c r="F16" i="43"/>
  <c r="K16" i="43" a="1"/>
  <c r="J16" i="43" a="1"/>
  <c r="J16" i="43" l="1"/>
  <c r="M16" i="43" s="1" a="1"/>
  <c r="M16" i="43" s="1"/>
  <c r="K16" i="43"/>
  <c r="B234" i="24"/>
  <c r="B235" i="24"/>
  <c r="B236" i="24"/>
  <c r="B237" i="24"/>
  <c r="B238" i="24"/>
  <c r="B239" i="24"/>
  <c r="F234" i="24"/>
  <c r="F235" i="24"/>
  <c r="F236" i="24"/>
  <c r="F237" i="24"/>
  <c r="F238" i="24"/>
  <c r="F239" i="24"/>
  <c r="G16" i="43" a="1"/>
  <c r="G16" i="43" l="1"/>
  <c r="L16" i="43"/>
  <c r="J77" i="24" l="1" a="1"/>
  <c r="J77" i="24" s="1"/>
  <c r="J78" i="24" a="1"/>
  <c r="J78" i="24" s="1"/>
  <c r="J89" i="24" a="1"/>
  <c r="J89" i="24" s="1"/>
  <c r="J90" i="24" a="1"/>
  <c r="J90" i="24" s="1"/>
  <c r="J91" i="24" a="1"/>
  <c r="J91" i="24" s="1"/>
  <c r="J96" i="24" a="1"/>
  <c r="J96" i="24" s="1"/>
  <c r="J97" i="24" a="1"/>
  <c r="J97" i="24" s="1"/>
  <c r="J92" i="24" a="1"/>
  <c r="J92" i="24" s="1"/>
  <c r="J93" i="24" a="1"/>
  <c r="J93" i="24" s="1"/>
  <c r="J94" i="24" a="1"/>
  <c r="J94" i="24" s="1"/>
  <c r="J95" i="24" a="1"/>
  <c r="J95" i="24" s="1"/>
  <c r="J98" i="24" a="1"/>
  <c r="J98" i="24" s="1"/>
  <c r="J99" i="24" a="1"/>
  <c r="J99" i="24" s="1"/>
  <c r="J100" i="24" a="1"/>
  <c r="J100" i="24" s="1"/>
  <c r="J102" i="24" a="1"/>
  <c r="J102" i="24" s="1"/>
  <c r="J104" i="24" a="1"/>
  <c r="J104" i="24" s="1"/>
  <c r="J105" i="24" a="1"/>
  <c r="J105" i="24" s="1"/>
  <c r="J106" i="24" a="1"/>
  <c r="J106" i="24" s="1"/>
  <c r="J107" i="24" a="1"/>
  <c r="J107" i="24" s="1"/>
  <c r="J108" i="24" a="1"/>
  <c r="J108" i="24" s="1"/>
  <c r="J109" i="24" a="1"/>
  <c r="J109" i="24" s="1"/>
  <c r="J110" i="24" a="1"/>
  <c r="J110" i="24" s="1"/>
  <c r="J111" i="24" a="1"/>
  <c r="J111" i="24" s="1"/>
  <c r="J114" i="24" a="1"/>
  <c r="J114" i="24" s="1"/>
  <c r="J115" i="24" a="1"/>
  <c r="J115" i="24" s="1"/>
  <c r="J117" i="24" a="1"/>
  <c r="J117" i="24" s="1"/>
  <c r="B78" i="24"/>
  <c r="B15" i="43"/>
  <c r="F15" i="43"/>
  <c r="B205" i="24"/>
  <c r="B204" i="24"/>
  <c r="B203" i="24"/>
  <c r="K15" i="43" a="1"/>
  <c r="J15" i="43" a="1"/>
  <c r="J15" i="43" l="1"/>
  <c r="M15" i="43" s="1"/>
  <c r="K15" i="43"/>
  <c r="B171" i="24"/>
  <c r="B187" i="24"/>
  <c r="B194" i="24"/>
  <c r="B180" i="24"/>
  <c r="H15" i="43"/>
  <c r="G15" i="43" a="1"/>
  <c r="G15" i="43" l="1"/>
  <c r="I15" i="43" s="1"/>
  <c r="L15" i="43"/>
  <c r="I77" i="24"/>
  <c r="I78" i="24"/>
  <c r="I89" i="24"/>
  <c r="I90" i="24"/>
  <c r="I91" i="24"/>
  <c r="I96" i="24"/>
  <c r="I97" i="24"/>
  <c r="I92" i="24"/>
  <c r="I93" i="24"/>
  <c r="I94" i="24"/>
  <c r="I95" i="24"/>
  <c r="I98" i="24"/>
  <c r="I99" i="24"/>
  <c r="I100" i="24"/>
  <c r="I102" i="24"/>
  <c r="I104" i="24"/>
  <c r="I105" i="24"/>
  <c r="I106" i="24"/>
  <c r="I107" i="24"/>
  <c r="I108" i="24"/>
  <c r="I109" i="24"/>
  <c r="I110" i="24"/>
  <c r="I111" i="24"/>
  <c r="I114" i="24"/>
  <c r="I115" i="24"/>
  <c r="I117" i="24"/>
  <c r="B14" i="43"/>
  <c r="F14" i="43"/>
  <c r="B13" i="43"/>
  <c r="F13" i="43"/>
  <c r="F47" i="24" a="1"/>
  <c r="F47" i="24" s="1"/>
  <c r="F53" i="24" a="1"/>
  <c r="F53" i="24" s="1"/>
  <c r="F54" i="24" a="1"/>
  <c r="F54" i="24" s="1"/>
  <c r="F56" i="24" a="1"/>
  <c r="F56" i="24" s="1"/>
  <c r="F55" i="24" a="1"/>
  <c r="F55" i="24" s="1"/>
  <c r="F57" i="24" a="1"/>
  <c r="F57" i="24" s="1"/>
  <c r="F59" i="24" a="1"/>
  <c r="F59" i="24" s="1"/>
  <c r="F61" i="24" a="1"/>
  <c r="F61" i="24" s="1"/>
  <c r="F62" i="24" a="1"/>
  <c r="F62" i="24" s="1"/>
  <c r="F63" i="24" a="1"/>
  <c r="F63" i="24" s="1"/>
  <c r="F64" i="24" a="1"/>
  <c r="F64" i="24" s="1"/>
  <c r="F67" i="24" a="1"/>
  <c r="F67" i="24" s="1"/>
  <c r="F68" i="24" a="1"/>
  <c r="F68" i="24" s="1"/>
  <c r="F70" i="24" a="1"/>
  <c r="F70" i="24" s="1"/>
  <c r="E47" i="24" a="1"/>
  <c r="E47" i="24" s="1"/>
  <c r="E53" i="24" a="1"/>
  <c r="E53" i="24" s="1"/>
  <c r="E54" i="24" a="1"/>
  <c r="E54" i="24" s="1"/>
  <c r="E56" i="24" a="1"/>
  <c r="E56" i="24" s="1"/>
  <c r="E55" i="24" a="1"/>
  <c r="E55" i="24" s="1"/>
  <c r="E57" i="24" a="1"/>
  <c r="E57" i="24" s="1"/>
  <c r="E59" i="24" a="1"/>
  <c r="E59" i="24" s="1"/>
  <c r="E61" i="24" a="1"/>
  <c r="E61" i="24" s="1"/>
  <c r="E62" i="24" a="1"/>
  <c r="E62" i="24" s="1"/>
  <c r="E63" i="24" a="1"/>
  <c r="E63" i="24" s="1"/>
  <c r="E64" i="24" a="1"/>
  <c r="E64" i="24" s="1"/>
  <c r="E67" i="24" a="1"/>
  <c r="E67" i="24" s="1"/>
  <c r="E68" i="24" a="1"/>
  <c r="E68" i="24" s="1"/>
  <c r="E70" i="24" a="1"/>
  <c r="E70" i="24" s="1"/>
  <c r="D47" i="24" a="1"/>
  <c r="D47" i="24" s="1"/>
  <c r="M19" i="24" s="1" a="1"/>
  <c r="M19" i="24" s="1"/>
  <c r="P19" i="24" s="1"/>
  <c r="D53" i="24" a="1"/>
  <c r="D53" i="24" s="1"/>
  <c r="M25" i="24" s="1" a="1"/>
  <c r="M25" i="24" s="1"/>
  <c r="D54" i="24" a="1"/>
  <c r="D54" i="24" s="1"/>
  <c r="M26" i="24" s="1" a="1"/>
  <c r="M26" i="24" s="1"/>
  <c r="P26" i="24" s="1"/>
  <c r="D56" i="24" a="1"/>
  <c r="D56" i="24" s="1"/>
  <c r="M28" i="24" s="1" a="1"/>
  <c r="M28" i="24" s="1"/>
  <c r="P28" i="24" s="1"/>
  <c r="D55" i="24" a="1"/>
  <c r="D55" i="24" s="1"/>
  <c r="M27" i="24" s="1" a="1"/>
  <c r="M27" i="24" s="1"/>
  <c r="P27" i="24" s="1"/>
  <c r="D57" i="24" a="1"/>
  <c r="D57" i="24" s="1"/>
  <c r="M29" i="24" s="1" a="1"/>
  <c r="M29" i="24" s="1"/>
  <c r="D59" i="24" a="1"/>
  <c r="D59" i="24" s="1"/>
  <c r="M31" i="24" s="1" a="1"/>
  <c r="M31" i="24" s="1"/>
  <c r="P31" i="24" s="1"/>
  <c r="D61" i="24" a="1"/>
  <c r="D61" i="24" s="1"/>
  <c r="M33" i="24" s="1" a="1"/>
  <c r="M33" i="24" s="1"/>
  <c r="P33" i="24" s="1"/>
  <c r="D62" i="24" a="1"/>
  <c r="D62" i="24" s="1"/>
  <c r="M34" i="24" s="1" a="1"/>
  <c r="M34" i="24" s="1"/>
  <c r="P34" i="24" s="1"/>
  <c r="D63" i="24" a="1"/>
  <c r="D63" i="24" s="1"/>
  <c r="M35" i="24" s="1" a="1"/>
  <c r="M35" i="24" s="1"/>
  <c r="P35" i="24" s="1"/>
  <c r="D64" i="24" a="1"/>
  <c r="D64" i="24" s="1"/>
  <c r="M36" i="24" s="1" a="1"/>
  <c r="M36" i="24" s="1"/>
  <c r="P36" i="24" s="1"/>
  <c r="D67" i="24" a="1"/>
  <c r="D67" i="24" s="1"/>
  <c r="M39" i="24" s="1" a="1"/>
  <c r="M39" i="24" s="1"/>
  <c r="P39" i="24" s="1"/>
  <c r="D68" i="24" a="1"/>
  <c r="D68" i="24" s="1"/>
  <c r="M40" i="24" s="1" a="1"/>
  <c r="M40" i="24" s="1"/>
  <c r="P40" i="24" s="1"/>
  <c r="D70" i="24" a="1"/>
  <c r="D70" i="24" s="1"/>
  <c r="M42" i="24" s="1" a="1"/>
  <c r="M42" i="24" s="1"/>
  <c r="P42" i="24" s="1"/>
  <c r="B55" i="24"/>
  <c r="B57" i="24"/>
  <c r="B59" i="24"/>
  <c r="B61" i="24"/>
  <c r="B62" i="24"/>
  <c r="B63" i="24"/>
  <c r="B64" i="24"/>
  <c r="B67" i="24"/>
  <c r="B68" i="24"/>
  <c r="B7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40" i="24"/>
  <c r="I27" i="24"/>
  <c r="K13" i="43" a="1"/>
  <c r="I36" i="24"/>
  <c r="C5" i="24"/>
  <c r="I25" i="24"/>
  <c r="I33" i="24"/>
  <c r="I26" i="24"/>
  <c r="I39" i="24"/>
  <c r="I42" i="24"/>
  <c r="I29" i="24"/>
  <c r="G14" i="43" a="1"/>
  <c r="I28" i="24"/>
  <c r="I35" i="24"/>
  <c r="I31" i="24"/>
  <c r="I19" i="24"/>
  <c r="K14" i="43" a="1"/>
  <c r="I34" i="24"/>
  <c r="J13" i="43" a="1"/>
  <c r="G38" i="24" l="1" a="1"/>
  <c r="G38" i="24" s="1"/>
  <c r="G21" i="24" a="1"/>
  <c r="G21" i="24" s="1"/>
  <c r="G23" i="24" a="1"/>
  <c r="G23" i="24" s="1"/>
  <c r="G32" i="24" a="1"/>
  <c r="G32" i="24" s="1"/>
  <c r="G22" i="24" a="1"/>
  <c r="G22" i="24" s="1"/>
  <c r="G24" i="24" a="1"/>
  <c r="G24" i="24" s="1"/>
  <c r="G41" i="24" a="1"/>
  <c r="G41"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2" i="24" a="1"/>
  <c r="G42" i="24" s="1"/>
  <c r="G33" i="24" a="1"/>
  <c r="G33" i="24" s="1"/>
  <c r="G28" i="24" a="1"/>
  <c r="G28" i="24" s="1"/>
  <c r="G39" i="24" a="1"/>
  <c r="G39" i="24" s="1"/>
  <c r="G40" i="24" a="1"/>
  <c r="G40"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9" i="24" l="1"/>
  <c r="B90" i="24"/>
  <c r="B91" i="24"/>
  <c r="B96" i="24"/>
  <c r="B97" i="24"/>
  <c r="B92" i="24"/>
  <c r="B93" i="24"/>
  <c r="B94" i="24"/>
  <c r="B95" i="24"/>
  <c r="B98" i="24"/>
  <c r="B99" i="24"/>
  <c r="B100" i="24"/>
  <c r="B102" i="24"/>
  <c r="B104" i="24"/>
  <c r="B105" i="24"/>
  <c r="B106" i="24"/>
  <c r="B107" i="24"/>
  <c r="B108" i="24"/>
  <c r="B109" i="24"/>
  <c r="B110" i="24"/>
  <c r="B111" i="24"/>
  <c r="B114" i="24"/>
  <c r="B115" i="24"/>
  <c r="B117" i="24"/>
  <c r="B77" i="24"/>
  <c r="H36" i="24" a="1"/>
  <c r="H27" i="24" a="1"/>
  <c r="H22" i="24" a="1"/>
  <c r="H32" i="24" a="1"/>
  <c r="H19" i="24" a="1"/>
  <c r="H29" i="24" a="1"/>
  <c r="H24" i="24" a="1"/>
  <c r="H25" i="24" a="1"/>
  <c r="H37" i="24" a="1"/>
  <c r="H38" i="24" a="1"/>
  <c r="H34" i="24" a="1"/>
  <c r="H35" i="24" a="1"/>
  <c r="H30" i="24" a="1"/>
  <c r="H26" i="24" a="1"/>
  <c r="H21" i="24" a="1"/>
  <c r="H33" i="24" a="1"/>
  <c r="H40" i="24" a="1"/>
  <c r="H20" i="24" a="1"/>
  <c r="H42" i="24" a="1"/>
  <c r="H39" i="24" a="1"/>
  <c r="H31" i="24" a="1"/>
  <c r="H41" i="24" a="1"/>
  <c r="H28" i="24" a="1"/>
  <c r="H23" i="24" a="1"/>
  <c r="H38" i="24" l="1"/>
  <c r="H21" i="24"/>
  <c r="H23" i="24"/>
  <c r="H32" i="24"/>
  <c r="H22" i="24"/>
  <c r="H24" i="24"/>
  <c r="H41" i="24"/>
  <c r="H30" i="24"/>
  <c r="H20" i="24"/>
  <c r="H37" i="24"/>
  <c r="H40" i="24"/>
  <c r="H26" i="24"/>
  <c r="H31" i="24"/>
  <c r="H36" i="24"/>
  <c r="H28" i="24"/>
  <c r="H39" i="24"/>
  <c r="H42"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6" i="24"/>
  <c r="B188" i="24"/>
  <c r="B174" i="24"/>
  <c r="B170" i="24"/>
  <c r="B172" i="24"/>
  <c r="B196" i="24"/>
  <c r="B193" i="24"/>
  <c r="B195" i="24"/>
  <c r="B197" i="24"/>
  <c r="F4" i="43"/>
  <c r="F5" i="43"/>
  <c r="F6" i="43"/>
  <c r="F7" i="43"/>
  <c r="B7" i="43"/>
  <c r="B4" i="46"/>
  <c r="B5" i="46"/>
  <c r="B6" i="46"/>
  <c r="B7" i="46"/>
  <c r="B8" i="46"/>
  <c r="B9" i="46"/>
  <c r="B10" i="46"/>
  <c r="B11" i="46"/>
  <c r="B12" i="46"/>
  <c r="B13" i="46"/>
  <c r="B14" i="46"/>
  <c r="B15" i="46"/>
  <c r="B16" i="46"/>
  <c r="B17" i="46"/>
  <c r="B18" i="46"/>
  <c r="B19" i="46"/>
  <c r="B20" i="46"/>
  <c r="K12" i="43" a="1"/>
  <c r="G10" i="43" a="1"/>
  <c r="K7" i="43" a="1"/>
  <c r="K10" i="43" a="1"/>
  <c r="G4" i="43" a="1"/>
  <c r="G6" i="43" a="1"/>
  <c r="G9" i="43" a="1"/>
  <c r="K9" i="43" a="1"/>
  <c r="K11" i="43" a="1"/>
  <c r="G12" i="43" a="1"/>
  <c r="G5" i="43" a="1"/>
  <c r="G11" i="43" a="1"/>
  <c r="G7" i="43" a="1"/>
  <c r="S153" i="24" l="1" a="1"/>
  <c r="S153" i="24" s="1"/>
  <c r="T153" i="24" a="1"/>
  <c r="T153" i="24" s="1"/>
  <c r="S154" i="24" a="1"/>
  <c r="S154" i="24" s="1"/>
  <c r="T154" i="24" a="1"/>
  <c r="T154" i="24" s="1"/>
  <c r="T155" i="24" a="1"/>
  <c r="T155" i="24" s="1"/>
  <c r="S155" i="24" a="1"/>
  <c r="S155" i="24" s="1"/>
  <c r="S125" i="24" a="1"/>
  <c r="S125" i="24" s="1"/>
  <c r="T125" i="24" a="1"/>
  <c r="T125" i="24" s="1"/>
  <c r="G9" i="43"/>
  <c r="T131" i="24" a="1"/>
  <c r="T131" i="24" s="1"/>
  <c r="T130" i="24" a="1"/>
  <c r="T130" i="24" s="1"/>
  <c r="S130" i="24" a="1"/>
  <c r="S130" i="24" s="1"/>
  <c r="S132" i="24" a="1"/>
  <c r="S132" i="24" s="1"/>
  <c r="T132" i="24" a="1"/>
  <c r="T132" i="24" s="1"/>
  <c r="T141" i="24" a="1"/>
  <c r="T141" i="24" s="1"/>
  <c r="T160" i="24" a="1"/>
  <c r="T160" i="24" s="1"/>
  <c r="S160" i="24" a="1"/>
  <c r="S160" i="24" s="1"/>
  <c r="S139" i="24" a="1"/>
  <c r="S139" i="24" s="1"/>
  <c r="T139" i="24" a="1"/>
  <c r="T139" i="24" s="1"/>
  <c r="S134" i="24" a="1"/>
  <c r="S134" i="24" s="1"/>
  <c r="T122" i="24" a="1"/>
  <c r="T122" i="24" s="1"/>
  <c r="T137" i="24" a="1"/>
  <c r="T137" i="24" s="1"/>
  <c r="T158" i="24" a="1"/>
  <c r="T158" i="24" s="1"/>
  <c r="S135" i="24" a="1"/>
  <c r="S135" i="24" s="1"/>
  <c r="T140" i="24" a="1"/>
  <c r="T140" i="24" s="1"/>
  <c r="T145" i="24" a="1"/>
  <c r="T145" i="24" s="1"/>
  <c r="T148" i="24" a="1"/>
  <c r="T148" i="24" s="1"/>
  <c r="T150" i="24" a="1"/>
  <c r="T150" i="24" s="1"/>
  <c r="S143" i="24" a="1"/>
  <c r="S143" i="24" s="1"/>
  <c r="T144" i="24" a="1"/>
  <c r="T144" i="24" s="1"/>
  <c r="U142" i="24" a="1"/>
  <c r="U142" i="24" s="1"/>
  <c r="T152" i="24" a="1"/>
  <c r="T152" i="24" s="1"/>
  <c r="U143" i="24" a="1"/>
  <c r="U143" i="24" s="1"/>
  <c r="T159" i="24" a="1"/>
  <c r="T159" i="24" s="1"/>
  <c r="T136" i="24" a="1"/>
  <c r="T136" i="24" s="1"/>
  <c r="T146" i="24" a="1"/>
  <c r="T146" i="24" s="1"/>
  <c r="T123" i="24" a="1"/>
  <c r="T123" i="24" s="1"/>
  <c r="T151" i="24" a="1"/>
  <c r="T151" i="24" s="1"/>
  <c r="U140" i="24" a="1"/>
  <c r="U140" i="24" s="1"/>
  <c r="T147" i="24" a="1"/>
  <c r="T147" i="24" s="1"/>
  <c r="S142" i="24" a="1"/>
  <c r="S142" i="24" s="1"/>
  <c r="U124" i="24" a="1"/>
  <c r="U124" i="24" s="1"/>
  <c r="G12" i="43"/>
  <c r="K12" i="43"/>
  <c r="G11" i="43"/>
  <c r="K11" i="43"/>
  <c r="G10" i="43"/>
  <c r="K10" i="43"/>
  <c r="K9" i="43"/>
  <c r="G7" i="43"/>
  <c r="G6" i="43"/>
  <c r="G5" i="43"/>
  <c r="G4" i="43"/>
  <c r="K7" i="43"/>
  <c r="J7" i="43" a="1"/>
  <c r="J4" i="43" a="1"/>
  <c r="J6" i="43" a="1"/>
  <c r="J11" i="43" a="1"/>
  <c r="J5" i="43" a="1"/>
  <c r="H7" i="43"/>
  <c r="J9" i="43" a="1"/>
  <c r="J12"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2" i="24"/>
  <c r="Q123" i="24"/>
  <c r="Q133" i="24"/>
  <c r="Q134" i="24"/>
  <c r="Q136" i="24"/>
  <c r="Q137" i="24"/>
  <c r="Q135" i="24"/>
  <c r="Q138" i="24"/>
  <c r="Q140" i="24"/>
  <c r="Q142" i="24"/>
  <c r="Q143" i="24"/>
  <c r="Q144" i="24"/>
  <c r="Q145" i="24"/>
  <c r="Q146" i="24"/>
  <c r="Q147" i="24"/>
  <c r="Q148" i="24"/>
  <c r="Q149" i="24"/>
  <c r="Q156" i="24"/>
  <c r="Q157" i="24"/>
  <c r="Q159" i="24"/>
  <c r="Q161" i="24"/>
  <c r="Q162" i="24"/>
  <c r="Q163" i="24"/>
  <c r="O149" i="24"/>
  <c r="B185" i="24"/>
  <c r="B149" i="24"/>
  <c r="B156" i="24"/>
  <c r="B135" i="24"/>
  <c r="B138" i="24"/>
  <c r="B140" i="24"/>
  <c r="B142" i="24"/>
  <c r="B143" i="24"/>
  <c r="B134" i="24"/>
  <c r="B133" i="24"/>
  <c r="B159" i="24" l="1"/>
  <c r="B157" i="24"/>
  <c r="B158" i="24"/>
  <c r="B123" i="24"/>
  <c r="B122" i="24"/>
  <c r="B177" i="24"/>
  <c r="B179" i="24"/>
  <c r="B178"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1" i="24" l="1"/>
  <c r="D212" i="24"/>
  <c r="B213" i="24"/>
  <c r="B212" i="24"/>
  <c r="B211" i="24"/>
  <c r="B184" i="24" l="1"/>
  <c r="B176" i="24"/>
  <c r="B169" i="24"/>
  <c r="H12" i="43"/>
  <c r="I12" i="43" l="1"/>
  <c r="B163" i="24" l="1"/>
  <c r="B161" i="24"/>
  <c r="B162" i="24"/>
  <c r="B145" i="24"/>
  <c r="B148" i="24"/>
  <c r="B144" i="24"/>
  <c r="B147" i="24"/>
  <c r="B146" i="24"/>
  <c r="B136" i="24"/>
  <c r="B137" i="24"/>
  <c r="E245" i="24"/>
  <c r="E246" i="24"/>
  <c r="E247" i="24"/>
  <c r="E248" i="24"/>
  <c r="E249" i="24"/>
  <c r="E250" i="24"/>
  <c r="E251" i="24"/>
  <c r="D245" i="24"/>
  <c r="D246" i="24"/>
  <c r="D247" i="24"/>
  <c r="D248" i="24"/>
  <c r="D249" i="24"/>
  <c r="D250" i="24"/>
  <c r="D251" i="24"/>
  <c r="J38" i="24" a="1"/>
  <c r="J19" i="24" a="1"/>
  <c r="J31" i="24" a="1"/>
  <c r="H11" i="43"/>
  <c r="J25" i="24" a="1"/>
  <c r="J27" i="24" a="1"/>
  <c r="J42" i="24" a="1"/>
  <c r="J36" i="24" a="1"/>
  <c r="J37" i="24" a="1"/>
  <c r="J32" i="24" a="1"/>
  <c r="J39" i="24" a="1"/>
  <c r="J23" i="24" a="1"/>
  <c r="J30" i="24" a="1"/>
  <c r="J33" i="24" a="1"/>
  <c r="J40" i="24" a="1"/>
  <c r="J35" i="24" a="1"/>
  <c r="J22" i="24" a="1"/>
  <c r="J26" i="24" a="1"/>
  <c r="J29" i="24" a="1"/>
  <c r="J34" i="24" a="1"/>
  <c r="J20" i="24" a="1"/>
  <c r="J28" i="24" a="1"/>
  <c r="J24" i="24" a="1"/>
  <c r="J41" i="24" a="1"/>
  <c r="J38" i="24" l="1"/>
  <c r="J23" i="24"/>
  <c r="J32" i="24"/>
  <c r="J22" i="24"/>
  <c r="J24" i="24"/>
  <c r="J41" i="24"/>
  <c r="J30" i="24"/>
  <c r="J20" i="24"/>
  <c r="J37" i="24"/>
  <c r="J33" i="24"/>
  <c r="J28" i="24"/>
  <c r="J36" i="24"/>
  <c r="J26" i="24"/>
  <c r="J39" i="24"/>
  <c r="J31" i="24"/>
  <c r="J42" i="24"/>
  <c r="J25" i="24"/>
  <c r="J40" i="24"/>
  <c r="J35" i="24"/>
  <c r="J29" i="24"/>
  <c r="J34" i="24"/>
  <c r="J27" i="24"/>
  <c r="J19" i="24"/>
  <c r="I11" i="43"/>
  <c r="B6" i="43"/>
  <c r="K6" i="43" a="1"/>
  <c r="H6" i="43"/>
  <c r="J21" i="24" a="1"/>
  <c r="J21" i="24" l="1"/>
  <c r="I6" i="43"/>
  <c r="K6" i="43"/>
  <c r="L6" i="43" s="1"/>
  <c r="B4" i="43"/>
  <c r="K4" i="43" a="1"/>
  <c r="K4" i="43" l="1"/>
  <c r="L4" i="43" s="1"/>
  <c r="B47" i="24"/>
  <c r="B53" i="24"/>
  <c r="B54" i="24"/>
  <c r="B56" i="24"/>
  <c r="B219" i="24"/>
  <c r="B220" i="24"/>
  <c r="B226" i="24"/>
  <c r="B227" i="24"/>
  <c r="B228" i="24"/>
  <c r="B229" i="24"/>
  <c r="B230" i="24"/>
  <c r="B231" i="24"/>
  <c r="B245" i="24"/>
  <c r="B246" i="24"/>
  <c r="B247" i="24"/>
  <c r="B248" i="24"/>
  <c r="B249" i="24"/>
  <c r="B250" i="24"/>
  <c r="B251" i="24"/>
  <c r="H13" i="43"/>
  <c r="H10" i="43"/>
  <c r="H14" i="43"/>
  <c r="H4" i="43"/>
  <c r="H16" i="43"/>
  <c r="I16" i="43" l="1"/>
  <c r="I13" i="43"/>
  <c r="I14" i="43"/>
  <c r="I10" i="43"/>
  <c r="I4" i="43"/>
  <c r="F227" i="24"/>
  <c r="F226" i="24"/>
  <c r="F229" i="24"/>
  <c r="F228" i="24"/>
  <c r="F231" i="24"/>
  <c r="F23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tc={8CBC150C-15DB-4F33-9FEE-009F87FE9766}</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 ref="N3" authorId="5" shapeId="0" xr:uid="{8CBC150C-15DB-4F33-9FEE-009F87FE9766}">
      <text>
        <t>[Threaded comment]
Your version of Excel allows you to read this threaded comment; however, any edits to it will get removed if the file is opened in a newer version of Excel. Learn more: https://go.microsoft.com/fwlink/?linkid=870924
Comment:
    Check flag expectations at load_data step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6"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6"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6"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6"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1"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1"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9"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8"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6"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6"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6"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<sst xmlns="http://schemas.openxmlformats.org/spreadsheetml/2006/main" count="19535" uniqueCount="1309">
  <si>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</si>
  <si>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</si>
  <si>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</si>
  <si>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</si>
  <si>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</si>
  <si>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</si>
  <si>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</si>
  <si>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</si>
  <si>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</si>
  <si>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</si>
  <si>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</si>
  <si>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</si>
  <si>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</si>
  <si>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</si>
  <si>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</si>
  <si>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</si>
  <si>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</si>
  <si>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</si>
  <si>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</si>
  <si>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</si>
  <si>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</si>
  <si>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</si>
  <si>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</si>
  <si>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</si>
  <si>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</si>
  <si>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</si>
  <si>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</si>
  <si>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</si>
  <si>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</si>
  <si>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</si>
  <si>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</si>
  <si>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</si>
  <si>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</si>
  <si>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</si>
  <si>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</si>
  <si>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</si>
  <si>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</si>
  <si>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</si>
  <si>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</si>
  <si>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</si>
  <si>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</si>
  <si>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</si>
  <si>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</si>
  <si>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</si>
  <si>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</si>
  <si>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</si>
  <si>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</si>
  <si>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</si>
  <si>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</si>
  <si>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</si>
  <si>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</si>
  <si>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</si>
  <si>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</si>
  <si>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</si>
  <si>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</si>
  <si>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</si>
  <si>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</si>
  <si>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</si>
  <si>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</si>
  <si>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</si>
  <si>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</si>
  <si>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</si>
  <si>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</si>
  <si>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</si>
  <si>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</si>
  <si>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</si>
  <si>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</si>
  <si>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</si>
  <si>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</si>
  <si>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</si>
  <si>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</si>
  <si>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</si>
  <si>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</si>
  <si>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</si>
  <si>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</si>
  <si>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</si>
  <si>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</si>
  <si>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</si>
  <si>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</si>
  <si>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</si>
  <si>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</si>
  <si>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</si>
  <si>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</si>
  <si>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</si>
  <si>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</si>
  <si>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</si>
  <si>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</si>
  <si>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</si>
  <si>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</si>
  <si>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</si>
  <si>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</si>
  <si>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</si>
  <si>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</si>
  <si>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</si>
  <si>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</si>
  <si>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</si>
  <si>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</si>
  <si>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</si>
  <si>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</si>
  <si>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</si>
  <si>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</si>
  <si>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</si>
  <si>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</si>
  <si>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</si>
  <si>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</si>
  <si>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</si>
  <si>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</si>
  <si>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</si>
  <si>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</si>
  <si>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</si>
  <si>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</si>
  <si>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</si>
  <si>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</si>
  <si>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</si>
  <si>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</si>
  <si>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</si>
  <si>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</si>
  <si>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</si>
  <si>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</si>
  <si>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</si>
  <si>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</si>
  <si>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</si>
  <si>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</si>
  <si>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</si>
  <si>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</si>
  <si>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</si>
  <si>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</si>
  <si>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</si>
  <si>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</si>
  <si>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</si>
  <si>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</si>
  <si>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</si>
  <si>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</si>
  <si>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</si>
  <si>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</si>
  <si>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</si>
  <si>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</si>
  <si>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</si>
  <si>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</si>
  <si>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</si>
  <si>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</si>
  <si>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</si>
  <si>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</si>
  <si>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</si>
  <si>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</si>
  <si>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</si>
  <si>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</si>
  <si>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</si>
  <si>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</si>
  <si>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</si>
  <si>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</si>
  <si>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</si>
  <si>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</si>
  <si>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</si>
  <si>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</si>
  <si>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</si>
  <si>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</si>
  <si>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</si>
  <si>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</si>
  <si>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</si>
  <si>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</si>
  <si>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</si>
  <si>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</si>
  <si>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</si>
  <si>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</si>
  <si>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</si>
  <si>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</si>
  <si>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</si>
  <si>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</si>
  <si>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</si>
  <si>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</si>
  <si>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</si>
  <si>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</si>
  <si>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</si>
  <si>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</si>
  <si>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</si>
  <si>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</si>
  <si>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</si>
  <si>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</si>
  <si>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</si>
  <si>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</si>
  <si>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</si>
  <si>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</si>
  <si>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</si>
  <si>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</si>
  <si>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</si>
  <si>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</si>
  <si>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</si>
  <si>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</si>
  <si>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</si>
  <si>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</si>
  <si>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</si>
  <si>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</si>
  <si>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</si>
  <si>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</si>
  <si>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</si>
  <si>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</si>
  <si>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</si>
  <si>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</si>
  <si>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</si>
  <si>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</si>
  <si>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</si>
  <si>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</si>
  <si>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</si>
  <si>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</si>
  <si>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</si>
  <si>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</si>
  <si>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</si>
  <si>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</si>
  <si>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</si>
  <si>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</si>
  <si>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</si>
  <si>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</si>
  <si>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</si>
  <si>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</si>
  <si>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</si>
  <si>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</si>
  <si>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</si>
  <si>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</si>
  <si>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</si>
  <si>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</si>
  <si>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</si>
  <si>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</si>
  <si>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</si>
  <si>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</si>
  <si>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</si>
  <si>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</si>
  <si>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</si>
  <si>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</si>
  <si>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</si>
  <si>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</si>
  <si>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</si>
  <si>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</si>
  <si>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</si>
  <si>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</si>
  <si>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</si>
  <si>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</si>
  <si>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</si>
  <si>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</si>
  <si>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</si>
  <si>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</si>
  <si>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</si>
  <si>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</si>
  <si>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</si>
  <si>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</si>
  <si>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</si>
  <si>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</si>
  <si>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</si>
  <si>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</si>
  <si>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</si>
  <si>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</si>
  <si>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</si>
  <si>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</si>
  <si>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</si>
  <si>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</si>
  <si>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</si>
  <si>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</si>
  <si>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</si>
  <si>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</si>
  <si>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</si>
  <si>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</si>
  <si>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</si>
  <si>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</si>
  <si>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</si>
  <si>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</si>
  <si>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</si>
  <si>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</si>
  <si>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</si>
  <si>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</si>
  <si>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</si>
  <si>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</si>
  <si>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</si>
  <si>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</si>
  <si>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</si>
  <si>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</si>
  <si>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</si>
  <si>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</si>
  <si>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</si>
  <si>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</si>
  <si>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</si>
  <si>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</si>
  <si>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</si>
  <si>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</si>
  <si>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</si>
  <si>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</si>
  <si>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</si>
  <si>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</si>
  <si>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</si>
  <si>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</si>
  <si>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</si>
  <si>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</si>
  <si>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</si>
  <si>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</si>
  <si>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</si>
  <si>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</si>
  <si>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</si>
  <si>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</si>
  <si>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</si>
  <si>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</si>
  <si>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</si>
  <si>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</si>
  <si>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</si>
  <si>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</si>
  <si>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</si>
  <si>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</si>
  <si>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</si>
  <si>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</si>
  <si>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</si>
  <si>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</si>
  <si>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</si>
  <si>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</si>
  <si>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</si>
  <si>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</si>
  <si>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</si>
  <si>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</si>
  <si>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</si>
  <si>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</si>
  <si>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</si>
  <si>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</si>
  <si>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</si>
  <si>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</si>
  <si>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</si>
  <si>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</si>
  <si>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</si>
  <si>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</si>
  <si>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</si>
  <si>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</si>
  <si>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</si>
  <si>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</si>
  <si>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</si>
  <si>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</si>
  <si>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</si>
  <si>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</si>
  <si>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</si>
  <si>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</si>
  <si>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</si>
  <si>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</si>
  <si>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</si>
  <si>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</si>
  <si>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</si>
  <si>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</si>
  <si>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</si>
  <si>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</si>
  <si>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</si>
  <si>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</si>
  <si>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</si>
  <si>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</si>
  <si>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</si>
  <si>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</si>
  <si>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</si>
  <si>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</si>
  <si>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</si>
  <si>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</si>
  <si>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</si>
  <si>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</si>
  <si>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</si>
  <si>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</si>
  <si>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</si>
  <si>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</si>
  <si>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</si>
  <si>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</si>
  <si>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</si>
  <si>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</si>
  <si>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</si>
  <si>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</si>
  <si>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</si>
  <si>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</si>
  <si>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</si>
  <si>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</si>
  <si>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</si>
  <si>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</si>
  <si>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</si>
  <si>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</si>
  <si>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</si>
  <si>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</si>
  <si>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</si>
  <si>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</si>
  <si>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</si>
  <si>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</si>
  <si>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</si>
  <si>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</si>
  <si>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</si>
  <si>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</si>
  <si>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</si>
  <si>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</si>
  <si>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</si>
  <si>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</si>
  <si>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</si>
  <si>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</si>
  <si>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</si>
  <si>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</si>
  <si>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</si>
  <si>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</si>
  <si>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</si>
  <si>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</si>
  <si>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</si>
  <si>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</si>
  <si>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</si>
  <si>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</si>
  <si>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</si>
  <si>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</si>
  <si>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</si>
  <si>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</si>
  <si>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</si>
  <si>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</si>
  <si>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</si>
  <si>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</si>
  <si>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</si>
  <si>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</si>
  <si>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</si>
  <si>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</si>
  <si>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</si>
  <si>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</si>
  <si>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</si>
  <si>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</si>
  <si>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</si>
  <si>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</si>
  <si>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</si>
  <si>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</si>
  <si>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</si>
  <si>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</si>
  <si>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</si>
  <si>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</si>
  <si>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</si>
  <si>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</si>
  <si>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</si>
  <si>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</si>
  <si>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</si>
  <si>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</si>
  <si>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</si>
  <si>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</si>
  <si>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</si>
  <si>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</si>
  <si>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</si>
  <si>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</si>
  <si>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</si>
  <si>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</si>
  <si>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</si>
  <si>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</si>
  <si>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</si>
  <si>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</si>
  <si>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</si>
  <si>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</si>
  <si>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</si>
  <si>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</si>
  <si>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</si>
  <si>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</si>
  <si>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</si>
  <si>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</si>
  <si>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</si>
  <si>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</si>
  <si>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</si>
  <si>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</si>
  <si>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</si>
  <si>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</si>
  <si>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</si>
  <si>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</si>
  <si>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</si>
  <si>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</si>
  <si>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</si>
  <si>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</si>
  <si>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</si>
  <si>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</si>
  <si>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</si>
  <si>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</si>
  <si>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</si>
  <si>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</si>
  <si>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</si>
  <si>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</si>
  <si>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</si>
  <si>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</si>
  <si>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</si>
  <si>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</si>
  <si>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</si>
  <si>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</si>
  <si>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</si>
  <si>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</si>
  <si>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</si>
  <si>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</si>
  <si>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</si>
  <si>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</si>
  <si>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</si>
  <si>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</si>
  <si>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</si>
  <si>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</si>
  <si>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</si>
  <si>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</si>
  <si>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</si>
  <si>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</si>
  <si>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</si>
  <si>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</si>
  <si>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</si>
  <si>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</si>
  <si>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</si>
  <si>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</si>
  <si>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</si>
  <si>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</si>
  <si>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</si>
  <si>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</si>
  <si>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</si>
  <si>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</si>
  <si>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</si>
  <si>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</si>
  <si>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</si>
  <si>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</si>
  <si>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</si>
  <si>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</si>
  <si>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</si>
  <si>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</si>
  <si>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</si>
  <si>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</si>
  <si>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</si>
  <si>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</si>
  <si>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</si>
  <si>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</si>
  <si>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</si>
  <si>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</si>
  <si>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</si>
  <si>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</si>
  <si>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</si>
  <si>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</si>
  <si>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</si>
  <si>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</si>
  <si>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</si>
  <si>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</si>
  <si>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</si>
  <si>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</si>
  <si>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</si>
  <si>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</si>
  <si>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</si>
  <si>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</si>
  <si>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</si>
  <si>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</si>
  <si>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</si>
  <si>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</si>
  <si>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</si>
  <si>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</si>
  <si>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</si>
  <si>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</si>
  <si>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</si>
  <si>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</si>
  <si>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</si>
  <si>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</si>
  <si>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</si>
  <si>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</si>
  <si>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</si>
  <si>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</si>
  <si>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</si>
  <si>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</si>
  <si>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</si>
  <si>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</si>
  <si>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</si>
  <si>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</si>
  <si>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</si>
  <si>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</si>
  <si>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</si>
  <si>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</si>
  <si>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</si>
  <si>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</si>
  <si>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</si>
  <si>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</si>
  <si>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</si>
  <si>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</si>
  <si>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</si>
  <si>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</si>
  <si>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</si>
  <si>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</si>
  <si>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</si>
  <si>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</si>
  <si>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</si>
  <si>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</si>
  <si>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</si>
  <si>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</si>
  <si>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</si>
  <si>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</si>
  <si>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</si>
  <si>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</si>
  <si>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</si>
  <si>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</si>
  <si>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</si>
  <si>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</si>
  <si>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</si>
  <si>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</si>
  <si>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</si>
  <si>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</si>
  <si>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</si>
  <si>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</si>
  <si>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</si>
  <si>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</si>
  <si>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</si>
  <si>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</si>
  <si>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</si>
  <si>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</si>
  <si>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</si>
  <si>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</si>
  <si>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</si>
  <si>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</si>
  <si>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</si>
  <si>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</si>
  <si>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</si>
  <si>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</si>
  <si>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</si>
  <si>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</si>
  <si>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</si>
  <si>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</si>
  <si>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</si>
  <si>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</si>
  <si>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</si>
  <si>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</si>
  <si>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</si>
  <si>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</si>
  <si>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</si>
  <si>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</si>
  <si>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</si>
  <si>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</si>
  <si>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</si>
  <si>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</si>
  <si>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</si>
  <si>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</si>
  <si>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</si>
  <si>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</si>
  <si>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</si>
  <si>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</si>
  <si>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</si>
  <si>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</si>
  <si>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</si>
  <si>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</si>
  <si>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</si>
  <si>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</si>
  <si>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</si>
  <si>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</si>
  <si>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</si>
  <si>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</si>
  <si>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</si>
  <si>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</si>
  <si>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</si>
  <si>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</si>
  <si>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</si>
  <si>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</si>
  <si>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</si>
  <si>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</si>
  <si>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</si>
  <si>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</si>
  <si>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</si>
  <si>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</si>
  <si>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</si>
  <si>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</si>
  <si>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</si>
  <si>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</si>
  <si>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</si>
  <si>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</si>
  <si>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</si>
  <si>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</si>
  <si>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</si>
  <si>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</si>
  <si>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</si>
  <si>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</si>
  <si>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</si>
  <si>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</si>
  <si>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</si>
  <si>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</si>
  <si>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</si>
  <si>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</si>
  <si>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</si>
  <si>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</si>
  <si>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</si>
  <si>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</si>
  <si>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</si>
  <si>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</si>
  <si>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</si>
  <si>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</si>
  <si>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</si>
  <si>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</si>
  <si>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</si>
  <si>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</si>
  <si>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</si>
  <si>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</si>
  <si>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</si>
  <si>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</si>
  <si>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</si>
  <si>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</si>
  <si>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</si>
  <si>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</si>
  <si>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</si>
  <si>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</si>
  <si>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</si>
  <si>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</si>
  <si>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</si>
  <si>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</si>
  <si>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</si>
  <si>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</si>
  <si>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</si>
  <si>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</si>
  <si>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</si>
  <si>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</si>
  <si>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</si>
  <si>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</si>
  <si>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</si>
  <si>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</si>
  <si>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</si>
  <si>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</si>
  <si>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</si>
  <si>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</si>
  <si>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</si>
  <si>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</si>
  <si>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</si>
  <si>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</si>
  <si>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</si>
  <si>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</si>
  <si>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</si>
  <si>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</si>
  <si>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</si>
  <si>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</si>
  <si>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</si>
  <si>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</si>
  <si>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</si>
  <si>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</si>
  <si>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</si>
  <si>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</si>
  <si>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</si>
  <si>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</si>
  <si>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</si>
  <si>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</si>
  <si>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</si>
  <si>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</si>
  <si>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</si>
  <si>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</si>
  <si>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</si>
  <si>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</si>
  <si>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</si>
  <si>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</si>
  <si>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</si>
  <si>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</si>
  <si>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</si>
  <si>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</si>
  <si>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</si>
  <si>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</si>
  <si>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</si>
  <si>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</si>
  <si>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</si>
  <si>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</si>
  <si>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</si>
  <si>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</si>
  <si>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</si>
  <si>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</si>
  <si>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</si>
  <si>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</si>
  <si>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</si>
  <si>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</si>
  <si>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</si>
  <si>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</si>
  <si>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</si>
  <si>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</si>
  <si>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</si>
  <si>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</si>
  <si>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</si>
  <si>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</si>
  <si>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</si>
  <si>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</si>
  <si>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</si>
  <si>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</si>
  <si>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</si>
  <si>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</si>
  <si>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</si>
  <si>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</si>
  <si>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</si>
  <si>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</si>
  <si>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</si>
  <si>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</si>
  <si>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</si>
  <si>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</si>
  <si>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</si>
  <si>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</si>
  <si>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</si>
  <si>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</si>
  <si>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</si>
  <si>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</si>
  <si>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</si>
  <si>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</si>
  <si>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</si>
  <si>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</si>
  <si>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</si>
  <si>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</si>
  <si>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</si>
  <si>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</si>
  <si>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</si>
  <si>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</si>
  <si>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</si>
  <si>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</si>
  <si>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</si>
  <si>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</si>
  <si>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</si>
  <si>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</si>
  <si>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</si>
  <si>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</si>
  <si>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</si>
  <si>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</si>
  <si>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</si>
  <si>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</si>
  <si>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</si>
  <si>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</si>
  <si>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</si>
  <si>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</si>
  <si>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</si>
  <si>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</si>
  <si>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</si>
  <si>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</si>
  <si>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</si>
  <si>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</si>
  <si>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</si>
  <si>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</si>
  <si>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</si>
  <si>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</si>
  <si>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</si>
  <si>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</si>
  <si>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</si>
  <si>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</si>
  <si>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</si>
  <si>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</si>
  <si>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</si>
  <si>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</si>
  <si>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</si>
  <si>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</si>
  <si>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</si>
  <si>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</si>
  <si>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</si>
  <si>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</si>
  <si>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</si>
  <si>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</si>
  <si>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</si>
  <si>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</si>
  <si>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</si>
  <si>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</si>
  <si>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</si>
  <si>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</si>
  <si>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</si>
  <si>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</si>
  <si>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</si>
  <si>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</si>
  <si>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</si>
  <si>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</si>
  <si>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</si>
  <si>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</si>
  <si>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</si>
  <si>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</si>
  <si>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</si>
  <si>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</si>
  <si>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</si>
  <si>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</si>
  <si>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</si>
  <si>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</si>
  <si>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</si>
  <si>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</si>
  <si>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</si>
  <si>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</si>
  <si>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</si>
  <si>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</si>
  <si>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</si>
  <si>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</si>
  <si>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</si>
  <si>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</si>
  <si>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</si>
  <si>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</si>
  <si>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</si>
  <si>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</si>
  <si>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</si>
  <si>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</si>
  <si>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</si>
  <si>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</si>
  <si>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</si>
  <si>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</si>
  <si>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</si>
  <si>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</si>
  <si>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</si>
  <si>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</si>
  <si>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</si>
  <si>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</si>
  <si>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</si>
  <si>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</si>
  <si>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</si>
  <si>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</si>
  <si>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</si>
  <si>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</si>
  <si>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</si>
  <si>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</si>
  <si>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</si>
  <si>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</si>
  <si>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</si>
  <si>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</si>
  <si>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</si>
  <si>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</si>
  <si>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</si>
  <si>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</si>
  <si>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</si>
  <si>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</si>
  <si>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</si>
  <si>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</si>
  <si>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</si>
  <si>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</si>
  <si>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</si>
  <si>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</si>
  <si>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</si>
  <si>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</si>
  <si>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</si>
  <si>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</si>
  <si>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</si>
  <si>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</si>
  <si>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</si>
  <si>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</si>
  <si>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</si>
  <si>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</si>
  <si>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</si>
  <si>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</si>
  <si>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</si>
  <si>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</si>
  <si>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</si>
  <si>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</si>
  <si>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</si>
  <si>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</si>
  <si>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</si>
  <si>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</si>
  <si>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</si>
  <si>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</si>
  <si>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</si>
  <si>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</si>
  <si>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</si>
  <si>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</si>
  <si>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</si>
  <si>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</si>
  <si>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</si>
  <si>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</si>
  <si>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</si>
  <si>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</si>
  <si>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</si>
  <si>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</si>
  <si>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</si>
  <si>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</si>
  <si>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</si>
  <si>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</si>
  <si>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</si>
  <si>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</si>
  <si>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</si>
  <si>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</si>
  <si>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</si>
  <si>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</si>
  <si>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</si>
  <si>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</si>
  <si>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</si>
  <si>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</si>
  <si>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</si>
  <si>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</si>
  <si>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</si>
  <si>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</si>
  <si>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</si>
  <si>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</si>
  <si>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</si>
  <si>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</si>
  <si>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</si>
  <si>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</si>
  <si>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</si>
  <si>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</si>
  <si>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</si>
  <si>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</si>
  <si>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</si>
  <si>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</si>
  <si>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</si>
  <si>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</si>
  <si>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</si>
  <si>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</si>
  <si>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</si>
  <si>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</si>
  <si>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</si>
  <si>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</si>
  <si>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</si>
  <si>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</si>
  <si>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</si>
  <si>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</si>
  <si>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</si>
  <si>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</si>
  <si>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</si>
  <si>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</si>
  <si>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</si>
  <si>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</si>
  <si>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</si>
  <si>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</si>
  <si>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</si>
  <si>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</si>
  <si>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</si>
  <si>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</si>
  <si>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</si>
  <si>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</si>
  <si>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</si>
  <si>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</si>
  <si>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</si>
  <si>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</si>
  <si>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</si>
  <si>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</si>
  <si>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</si>
  <si>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</si>
  <si>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</si>
  <si>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</si>
  <si>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</si>
  <si>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</si>
  <si>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</si>
  <si>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</si>
  <si>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</si>
  <si>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</si>
  <si>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</si>
  <si>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</si>
  <si>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</si>
  <si>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</si>
  <si>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</si>
  <si>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</si>
  <si>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</si>
  <si>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</si>
  <si>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</si>
  <si>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</si>
  <si>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</si>
  <si>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</si>
  <si>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</si>
  <si>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</si>
  <si>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</si>
  <si>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</si>
  <si>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</si>
  <si>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</si>
  <si>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</si>
  <si>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</si>
  <si>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</si>
  <si>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</si>
  <si>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</si>
  <si>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</si>
  <si>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</si>
  <si>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</si>
  <si>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</si>
  <si>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</si>
  <si>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</si>
  <si>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</si>
  <si>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</si>
  <si>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</si>
  <si>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</si>
  <si>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</si>
  <si>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</si>
  <si>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</si>
  <si>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</si>
  <si>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</si>
  <si>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</si>
  <si>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</si>
  <si>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</si>
  <si>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</si>
  <si>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</si>
  <si>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</si>
  <si>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</si>
  <si>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</si>
  <si>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</si>
  <si>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</si>
  <si>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</si>
  <si>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</si>
  <si>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</si>
  <si>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</si>
  <si>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</si>
  <si>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</si>
  <si>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</si>
  <si>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</si>
  <si>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</si>
  <si>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</si>
  <si>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</si>
  <si>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</si>
  <si>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</si>
  <si>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</si>
  <si>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</si>
  <si>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</si>
  <si>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</si>
  <si>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</si>
  <si>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</si>
  <si>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</si>
  <si>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</si>
  <si>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</si>
  <si>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</si>
  <si>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</si>
  <si>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</si>
  <si>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</si>
  <si>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</si>
  <si>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</si>
  <si>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</si>
  <si>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</si>
  <si>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</si>
  <si>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</si>
  <si>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</si>
  <si>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</si>
  <si>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</si>
  <si>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</si>
  <si>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</si>
  <si>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</si>
  <si>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</si>
  <si>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</si>
  <si>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</si>
  <si>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</si>
  <si>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</si>
  <si>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</si>
  <si>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</si>
  <si>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</si>
  <si>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</si>
  <si>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</si>
  <si>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</si>
  <si>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</si>
  <si>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</si>
  <si>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</si>
  <si>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</si>
  <si>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</si>
  <si>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</si>
  <si>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</si>
  <si>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</si>
  <si>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</si>
  <si>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</si>
  <si>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</si>
  <si>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</si>
  <si>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</si>
  <si>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</si>
  <si>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</si>
  <si>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</si>
  <si>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</si>
  <si>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</si>
  <si>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</si>
  <si>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</si>
  <si>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</si>
  <si>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</si>
  <si>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</si>
  <si>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</si>
  <si>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</si>
  <si>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</si>
  <si>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</si>
  <si>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</si>
  <si>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</si>
  <si>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</si>
  <si>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</si>
  <si>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</si>
  <si>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</si>
  <si>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</si>
  <si>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</si>
  <si>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</si>
  <si>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</si>
  <si>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</si>
  <si>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</si>
  <si>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</si>
  <si>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</si>
  <si>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</si>
  <si>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</si>
  <si>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</si>
  <si>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</si>
  <si>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</si>
  <si>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</si>
  <si>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</si>
  <si>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</si>
  <si>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</si>
  <si>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</si>
  <si>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</si>
  <si>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</si>
  <si>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</si>
  <si>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</si>
  <si>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</si>
  <si>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</si>
  <si>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</si>
  <si>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</si>
  <si>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</si>
  <si>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</si>
  <si>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</si>
  <si>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</si>
  <si>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</si>
  <si>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</si>
  <si>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</si>
  <si>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</si>
  <si>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</si>
  <si>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</si>
  <si>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</si>
  <si>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</si>
  <si>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</si>
  <si>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</si>
  <si>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</si>
  <si>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</si>
  <si>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</si>
  <si>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</si>
  <si>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</si>
  <si>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</si>
  <si>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</si>
  <si>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</si>
  <si>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</si>
  <si>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</si>
  <si>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</si>
  <si>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</si>
  <si>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</si>
  <si>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</si>
  <si>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</si>
  <si>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</si>
  <si>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</si>
  <si>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</si>
  <si>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</si>
  <si>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</si>
  <si>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</si>
  <si>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</si>
  <si>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</si>
  <si>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</si>
  <si>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</si>
  <si>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</si>
  <si>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</si>
  <si>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</si>
  <si>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</si>
  <si>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</si>
  <si>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</si>
  <si>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</si>
  <si>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</si>
  <si>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</si>
  <si>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</si>
  <si>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</si>
  <si>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</si>
  <si>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</si>
  <si>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</si>
  <si>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</si>
  <si>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</si>
  <si>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</si>
  <si>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</si>
  <si>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</si>
  <si>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</si>
  <si>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</si>
  <si>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</si>
  <si>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</si>
  <si>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</si>
  <si>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</si>
  <si>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</si>
  <si>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</si>
  <si>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</si>
  <si>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</si>
  <si>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</si>
  <si>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</si>
  <si>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</si>
  <si>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</si>
  <si>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</si>
  <si>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</si>
  <si>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</si>
  <si>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</si>
  <si>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</si>
  <si>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</si>
  <si>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</si>
  <si>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</si>
  <si>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</si>
  <si>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</si>
  <si>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</si>
  <si>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</si>
  <si>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</si>
  <si>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</si>
  <si>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</si>
  <si>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</si>
  <si>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</si>
  <si>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</si>
  <si>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</si>
  <si>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</si>
  <si>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</si>
  <si>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</si>
  <si>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</si>
  <si>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</si>
  <si>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</si>
  <si>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</si>
  <si>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</si>
  <si>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</si>
  <si>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</si>
  <si>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</si>
  <si>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</si>
  <si>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</si>
  <si>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</si>
  <si>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load_dat_cf</t>
  </si>
  <si>
    <t>TRUE,FALSE,TRUE</t>
  </si>
  <si>
    <t>co_sectorsRef</t>
  </si>
  <si>
    <t>df_sectorsInfo</t>
  </si>
  <si>
    <t>co_impactYearLevels</t>
  </si>
  <si>
    <t>testDev</t>
  </si>
  <si>
    <t>slrExtremes</t>
  </si>
  <si>
    <t>gdp_default</t>
  </si>
  <si>
    <t>pop_default</t>
  </si>
  <si>
    <t>national_pop_default</t>
  </si>
  <si>
    <t>df_mainScalars</t>
  </si>
  <si>
    <t>df_results0</t>
  </si>
  <si>
    <t>Changes if new sector added</t>
  </si>
  <si>
    <t>New sector changes</t>
  </si>
  <si>
    <t>Yes</t>
  </si>
  <si>
    <t>Maybe</t>
  </si>
  <si>
    <t>No</t>
  </si>
  <si>
    <t>New rows for each new sector</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</si>
  <si>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</si>
  <si>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</si>
  <si>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</si>
  <si>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</si>
  <si>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</si>
  <si>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</si>
  <si>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</si>
  <si>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</si>
  <si>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</si>
  <si>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</si>
  <si>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</si>
  <si>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</si>
  <si>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Reference info about sectors. Will have new rows for the new sector</t>
  </si>
  <si>
    <t xml:space="preserve">In theory, yes, but generally, no. We haven't added a new impact year in ages. So let's assume it is no for the purposes of developing the test and revisit this if there is a special case. </t>
  </si>
  <si>
    <t>Info about sectors, reshaped</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</si>
  <si>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</si>
  <si>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for each new sector, impact type,  variant, region, GCM model (including new models),  etc. Will also add rows for any new GCM model for all other combinations</t>
  </si>
  <si>
    <t>Vibrio</t>
  </si>
  <si>
    <t>DirectMedCost</t>
  </si>
  <si>
    <t>LostDays</t>
  </si>
  <si>
    <t>If the sector only has one variant, "variant_id_excel" should be "N/A" and match "variant" column in the scaled impacts table</t>
  </si>
  <si>
    <t>Direct Medical Cost</t>
  </si>
  <si>
    <t>Lost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</si>
</sst>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O20" totalsRowShown="0" headerRowDxfId="290" dataDxfId="289">
  <autoFilter ref="B3:O20" xr:uid="{AD244AAD-EF2A-4E3D-905E-7CC1947F3F1F}"/>
  <sortState xmlns:xlrd2="http://schemas.microsoft.com/office/spreadsheetml/2017/richdata2" ref="B4:O6">
    <sortCondition descending="1" ref="D4:D6"/>
    <sortCondition ref="E4:E6"/>
    <sortCondition ref="C4:C6"/>
  </sortState>
  <tableColumns count="14">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6" xr3:uid="{6BF3CF42-2FF5-4FD2-99CF-FDA36A624043}" name="load_dat_cf" dataDxfId="276"/>
    <tableColumn id="10" xr3:uid="{1AD286DF-FF1E-4EA7-92C2-04966DE58B94}" name="Notes" dataDxfId="275"/>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F599F9-059E-4113-B76C-F6C9720B9AA2}" name="testDev" displayName="testDev" ref="B3:E28" totalsRowShown="0" headerRowDxfId="274" dataDxfId="273">
  <autoFilter ref="B3:E28" xr:uid="{52F599F9-059E-4113-B76C-F6C9720B9AA2}"/>
  <sortState xmlns:xlrd2="http://schemas.microsoft.com/office/spreadsheetml/2017/richdata2" ref="B4:E6">
    <sortCondition descending="1" ref="D4:D6"/>
    <sortCondition ref="E4:E6"/>
    <sortCondition ref="C4:C6"/>
  </sortState>
  <tableColumns count="4">
    <tableColumn id="1" xr3:uid="{6680ADC0-D200-4874-8D14-A98BDC9F8832}" name="row_id" dataDxfId="272">
      <calculatedColumnFormula xml:space="preserve"> ROW( testDev[[#This Row],[row_id]] ) - ROW(testDev[[#Headers],[row_id]] )</calculatedColumnFormula>
    </tableColumn>
    <tableColumn id="2" xr3:uid="{53836AF5-FEC4-4F3E-A756-ACEFF1ECCDD4}" name="Table Name" dataDxfId="271"/>
    <tableColumn id="8" xr3:uid="{5DF690EA-CCC5-48E8-AEAA-C18E36744EA0}" name="Changes if new sector added" dataDxfId="1"/>
    <tableColumn id="3" xr3:uid="{1622F49E-A666-41A9-A543-837A83D6EB79}" name="New sector changes" dataDxfId="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2" totalsRowShown="0" headerRowDxfId="270" dataDxfId="268" headerRowBorderDxfId="269" tableBorderDxfId="267" totalsRowBorderDxfId="266">
  <sortState xmlns:xlrd2="http://schemas.microsoft.com/office/spreadsheetml/2017/richdata2" ref="B19:P42">
    <sortCondition ref="D19:D42"/>
  </sortState>
  <tableColumns count="15">
    <tableColumn id="14" xr3:uid="{60C3EA8F-72E0-495B-8B73-6D682443C60B}" name="row_id" dataDxfId="265" totalsRowDxfId="264">
      <calculatedColumnFormula xml:space="preserve"> ROW( co_sectors[[#This Row],[row_id]] ) - ROW( co_sectors[[#Headers],[row_id]] )</calculatedColumnFormula>
    </tableColumn>
    <tableColumn id="1" xr3:uid="{05E901B8-39C9-4448-8C69-F1824616C5B3}" name="sector_id" dataDxfId="263" totalsRowDxfId="262"/>
    <tableColumn id="2" xr3:uid="{8435BE36-75E6-4124-BCAF-A700C82839D8}" name="sector_label" dataDxfId="261" totalsRowDxfId="260"/>
    <tableColumn id="6" xr3:uid="{2BB914B0-56FF-4336-B8AD-DDDF5E8FE532}" name="include" dataDxfId="259" totalsRowDxfId="258"/>
    <tableColumn id="8" xr3:uid="{18B4827C-060D-4556-903A-BB8A82781CB7}" name="modelType" dataDxfId="257" totalsRowDxfId="256"/>
    <tableColumn id="9" xr3:uid="{031B452A-F7AD-42C2-B528-CC3050A26AA0}" name="interpolateEstimateYears" dataDxfId="255" totalsRowDxfId="254">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3" totalsRowDxfId="252">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1" totalsRowDxfId="250">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9" totalsRowDxfId="248">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7" totalsRowDxfId="246">
      <calculatedColumnFormula array="1" xml:space="preserve"> SUMPRODUCT( --( co_sectors[[#This Row],[sector_id]] = co_variants[sector_id] ) )</calculatedColumnFormula>
    </tableColumn>
    <tableColumn id="11" xr3:uid="{5F0E2743-320C-46C8-BF83-E0748C4ED15D}" name="Number of impact types" dataDxfId="245" totalsRowDxfId="244">
      <calculatedColumnFormula array="1" xml:space="preserve"> SUMPRODUCT( --( co_sectors[[#This Row],[sector_id]] = co_impactTypes[sector_id] ) )</calculatedColumnFormula>
    </tableColumn>
    <tableColumn id="13" xr3:uid="{39CDE92C-BE84-47A0-A80A-EB0EC7367742}" name="Number of impact years" dataDxfId="243" totalsRowDxfId="242">
      <calculatedColumnFormula array="1" xml:space="preserve"> IF( INDEX( co_impactYears[N/A], MATCH( 1, --( co_sectors[[#This Row],[sector_id]] = co_impactYears[sector_id] ), 0 ) ) = "N/A", 1, 2 )</calculatedColumnFormula>
    </tableColumn>
    <tableColumn id="16" xr3:uid="{E3198681-898F-4937-B8ED-BD8ED473A1BE}" name="Number of models" dataDxfId="241" totalsRowDxfId="240">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9" totalsRowDxfId="238">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7" totalsRowDxfId="236">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8:N220" totalsRowShown="0" headerRowDxfId="235" dataDxfId="234">
  <tableColumns count="13">
    <tableColumn id="1" xr3:uid="{11DFD282-93A9-4795-9369-6627D14BB282}" name="row_id" dataDxfId="233">
      <calculatedColumnFormula xml:space="preserve"> ROW( co_modelTypes[[#This Row],[row_id]] ) - ROW( co_modelTypes[[#Headers],[row_id]] )</calculatedColumnFormula>
    </tableColumn>
    <tableColumn id="5" xr3:uid="{083A43A4-471A-4911-84CB-93A1DE17EDC1}" name="modelType_id" dataDxfId="232"/>
    <tableColumn id="6" xr3:uid="{5A95B322-31B8-49BE-B215-52BB75258F9F}" name="modelType_label" dataDxfId="231"/>
    <tableColumn id="2" xr3:uid="{7172DDAD-67EF-469B-A2DF-E5E2773966BC}" name="modelUnit_id" dataDxfId="230"/>
    <tableColumn id="8" xr3:uid="{0E585296-9334-4F27-8B15-1B944CD33E6C}" name="modelUnit_label" dataDxfId="229"/>
    <tableColumn id="3" xr3:uid="{540088D4-3239-4E2E-B19D-9DEA7196BB93}" name="modelUnitType" dataDxfId="228"/>
    <tableColumn id="7" xr3:uid="{EDB25577-4E2B-4262-9DF5-F68DC828D4E8}" name="modelUnitDesc" dataDxfId="227"/>
    <tableColumn id="4" xr3:uid="{72573958-4C31-41E8-A620-C05E0EAD6C20}" name="modelRefYear" dataDxfId="226"/>
    <tableColumn id="14" xr3:uid="{24E03EC5-2F20-4779-B9C9-9AA4430B9341}" name="modelMaxOutput" dataDxfId="225"/>
    <tableColumn id="9" xr3:uid="{537B6620-4A1F-465E-B24B-88B4E9CB99EF}" name="modelMaxExtrap" dataDxfId="224"/>
    <tableColumn id="10" xr3:uid="{5F1496AF-7FEE-4618-AAE6-2E8C8F5433BE}" name="modelUnitScale" dataDxfId="223"/>
    <tableColumn id="13" xr3:uid="{2D80CF7B-1072-423B-9E13-7F9B3844DD63}" name="Number of levels" dataDxfId="222"/>
    <tableColumn id="12" xr3:uid="{D1A4CB2D-7AE0-4E8A-AC5A-FA532FF3EFB2}" name="Number of models" dataDxfId="22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4:E251" totalsRowShown="0" headerRowDxfId="220" dataDxfId="219">
  <tableColumns count="4">
    <tableColumn id="1" xr3:uid="{18599272-3810-42BA-A220-485AFB1D6807}" name="row_id" dataDxfId="218">
      <calculatedColumnFormula xml:space="preserve"> ROW( co_regions[[#This Row],[row_id]] ) - ROW( co_regions[[#Headers],[row_id]] )</calculatedColumnFormula>
    </tableColumn>
    <tableColumn id="3" xr3:uid="{56B07D04-3458-4687-B04E-181849066DB3}" name="region_label" dataDxfId="217"/>
    <tableColumn id="4" xr3:uid="{C002439A-2823-4374-8AD2-D03BE0946361}" name="region_dot" dataDxfId="216">
      <calculatedColumnFormula xml:space="preserve"> SUBSTITUTE( co_regions[[#This Row],[region_label]], " ", "." )</calculatedColumnFormula>
    </tableColumn>
    <tableColumn id="5" xr3:uid="{FFA64F27-24E0-4D92-8E8A-6A4675CEB856}" name="region_underscore" dataDxfId="215">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5:G239" totalsRowShown="0" headerRowDxfId="214" dataDxfId="213">
  <tableColumns count="6">
    <tableColumn id="1" xr3:uid="{BF1485BD-F9FE-4F5B-9D9F-D9CB3D918F44}" name="row_id" dataDxfId="212">
      <calculatedColumnFormula xml:space="preserve"> ROW( co_models[[#This Row],[row_id]] ) - ROW( co_models[[#Headers],[row_id]] )</calculatedColumnFormula>
    </tableColumn>
    <tableColumn id="2" xr3:uid="{A209304D-718C-45BB-922A-A83B3EC89858}" name="model_id" dataDxfId="211"/>
    <tableColumn id="20" xr3:uid="{A1F83970-3B0E-4464-8376-1B37DBE20974}" name="modelType" dataDxfId="210"/>
    <tableColumn id="4" xr3:uid="{07FC9EA5-74D5-4155-BD5E-E00DD3D52BAE}" name="model_dot" dataDxfId="20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8">
      <calculatedColumnFormula xml:space="preserve"> SUBSTITUTE( co_models[[#This Row],[model_dot]], ".", "_" )</calculatedColumnFormula>
    </tableColumn>
    <tableColumn id="3" xr3:uid="{F9DE0808-4FD0-4FB6-9363-B580ED760D5C}" name="model_label" dataDxfId="20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6:F70" totalsRowShown="0" headerRowDxfId="206" dataDxfId="205">
  <autoFilter ref="B46:F70" xr:uid="{965CD6B2-887D-46C8-9D98-6C6AECBC7B1A}"/>
  <sortState xmlns:xlrd2="http://schemas.microsoft.com/office/spreadsheetml/2017/richdata2" ref="B47:F70">
    <sortCondition ref="C47:C70"/>
  </sortState>
  <tableColumns count="5">
    <tableColumn id="1" xr3:uid="{CDF8B6C0-3166-4A5F-954A-6DD921A48F0D}" name="row_id" dataDxfId="204" totalsRowDxfId="203">
      <calculatedColumnFormula xml:space="preserve"> ROW( co_impactYears[[#This Row],[row_id]] ) - ROW(co_impactYears[[#Headers],[row_id]] )</calculatedColumnFormula>
    </tableColumn>
    <tableColumn id="2" xr3:uid="{CE04D22F-F326-49F0-9B89-F7BBAC07F272}" name="sector_id" dataDxfId="202" totalsRowDxfId="201"/>
    <tableColumn id="4" xr3:uid="{D085A6D5-2B6A-46B4-9638-D837648BB08B}" name="N/A" dataDxfId="200" totalsRowDxfId="199">
      <calculatedColumnFormula array="1" xml:space="preserve"> IF( SUMPRODUCT( --( VALUE( controlTables!E$46 ) = data_scaledImpacts[impactYear] ), --( co_impactYears[[#This Row],[sector_id]] = data_scaledImpacts[sector] ) ) &gt; 0, "", controlTables!D$46  )</calculatedColumnFormula>
    </tableColumn>
    <tableColumn id="5" xr3:uid="{EB302892-BCFD-4CA5-B470-8D81C8E73DDE}" name="2010" dataDxfId="198" totalsRowDxfId="197">
      <calculatedColumnFormula array="1" xml:space="preserve"> IF( SUMPRODUCT( --( VALUE( controlTables!E$46 ) = data_scaledImpacts[impactYear] ), --( co_impactYears[[#This Row],[sector_id]] = data_scaledImpacts[sector] ) ) &gt; 0, VALUE( controlTables!E$46 ), "" )</calculatedColumnFormula>
    </tableColumn>
    <tableColumn id="6" xr3:uid="{FADA0A2C-2C06-4E27-9064-B329CB26787D}" name="2090" dataDxfId="196" totalsRowDxfId="195">
      <calculatedColumnFormula array="1" xml:space="preserve"> IF( SUMPRODUCT( --( VALUE( controlTables!F$46 ) = data_scaledImpacts[impactYear] ), --( co_impactYears[[#This Row],[sector_id]] = data_scaledImpacts[sector] ) ) &gt; 0, VALUE( controlTables!F$46 ),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1:U163" totalsRowShown="0" headerRowDxfId="194" dataDxfId="193">
  <autoFilter ref="B121:U163" xr:uid="{E446364F-959A-4BFF-80B5-CD65050C4865}"/>
  <sortState xmlns:xlrd2="http://schemas.microsoft.com/office/spreadsheetml/2017/richdata2" ref="B122:U163">
    <sortCondition ref="C122:C163"/>
    <sortCondition ref="D122:D163"/>
  </sortState>
  <tableColumns count="20">
    <tableColumn id="1" xr3:uid="{3C0C87EC-3301-4189-A438-330FBC0C23CE}" name="row_id" dataDxfId="192">
      <calculatedColumnFormula xml:space="preserve"> ROW( co_impactTypes[[#This Row],[row_id]] ) - ROW(co_impactTypes[[#Headers],[row_id]] )</calculatedColumnFormula>
    </tableColumn>
    <tableColumn id="5" xr3:uid="{695E7B0A-9CCF-4B48-8FB4-7B2C8AC23CA2}" name="sector_id" dataDxfId="191"/>
    <tableColumn id="3" xr3:uid="{AC7D2590-5F6F-4E8A-8395-3ACC925DD65E}" name="impactType_label" dataDxfId="190"/>
    <tableColumn id="2" xr3:uid="{389F4E81-E357-4437-B986-87606739FD52}" name="impactType_id" dataDxfId="189"/>
    <tableColumn id="8" xr3:uid="{535B73E2-6287-4418-B8AA-E50E0120DCC2}" name="impactType_id_excel" dataDxfId="188"/>
    <tableColumn id="7" xr3:uid="{252ECC08-A081-4155-A2E4-6E6953775245}" name="impactType_description" dataDxfId="187"/>
    <tableColumn id="18" xr3:uid="{20E67458-91EF-4192-9F05-0BEE3F89945B}" name="physicalmeasure" dataDxfId="186"/>
    <tableColumn id="6" xr3:uid="{3CFD45D4-B79B-4F80-92FC-337937E46944}" name="physScalarName" dataDxfId="185"/>
    <tableColumn id="9" xr3:uid="{40E9B945-11EE-47C9-B5D8-A41A8FC63734}" name="physAdjName" dataDxfId="184"/>
    <tableColumn id="16" xr3:uid="{5C5AE37A-2086-491F-BF3C-F22CC928E516}" name="damageAdjName" dataDxfId="183"/>
    <tableColumn id="10" xr3:uid="{2A5B466E-A990-49E9-92E3-0103059D4863}" name="econScalarName" dataDxfId="182"/>
    <tableColumn id="11" xr3:uid="{74F77DB7-A970-4C19-A8F9-04E79FC664FD}" name="econMultiplierName" dataDxfId="181"/>
    <tableColumn id="12" xr3:uid="{DA200B1A-95FB-4000-933E-BC048A1E0631}" name="c0" dataDxfId="180"/>
    <tableColumn id="13" xr3:uid="{F6CED4C7-F96B-4766-BD90-7B52A49FAABA}" name="c1" dataDxfId="179"/>
    <tableColumn id="14" xr3:uid="{E36983CA-3DF1-4DD8-A727-E60C1D905346}" name="exp0" dataDxfId="178"/>
    <tableColumn id="15" xr3:uid="{861014FE-4437-4D17-8CED-BC8B72417DD9}" name="year0" dataDxfId="177">
      <calculatedColumnFormula xml:space="preserve"> IF(co_impactTypes[[#This Row],[econMultiplierName]]="None", "N/A", 2010)</calculatedColumnFormula>
    </tableColumn>
    <tableColumn id="4" xr3:uid="{B36EDE81-6CA0-42FB-A8A9-9A4FA4A5EFCA}" name="check_data" dataDxfId="176">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5">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4">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3">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8:K197" totalsRowShown="0" headerRowDxfId="172" dataDxfId="171">
  <sortState xmlns:xlrd2="http://schemas.microsoft.com/office/spreadsheetml/2017/richdata2" ref="B169:K197">
    <sortCondition ref="E169:E197"/>
    <sortCondition ref="C169:C197"/>
  </sortState>
  <tableColumns count="10">
    <tableColumn id="1" xr3:uid="{B5AB138C-E49F-456B-8F7B-6A701BD94314}" name="row_id" dataDxfId="170">
      <calculatedColumnFormula xml:space="preserve"> ROW( co_scalarInfo[[#This Row],[row_id]] ) - ROW( co_scalarInfo[[#Headers],[row_id]] )</calculatedColumnFormula>
    </tableColumn>
    <tableColumn id="4" xr3:uid="{057C556C-4A5B-41BF-9EA5-CD5D06EC20A3}" name="scalarName" dataDxfId="169"/>
    <tableColumn id="2" xr3:uid="{11586BC8-9866-411F-AFB1-B54CDBE58BC8}" name="scalarLabel" dataDxfId="168"/>
    <tableColumn id="3" xr3:uid="{59273865-10D7-4E58-A34B-98B12FD27367}" name="scalarType" dataDxfId="167"/>
    <tableColumn id="6" xr3:uid="{44722630-DE32-4127-9D36-E5716D7B6FB1}" name="constant_or_dynamic" dataDxfId="166"/>
    <tableColumn id="7" xr3:uid="{06B55EB3-A830-4A09-BCEF-732F610DB775}" name="national_or_regional" dataDxfId="165"/>
    <tableColumn id="12" xr3:uid="{DA5FA732-C673-49CC-B393-EEDF239C5944}" name="valueYear" dataDxfId="164"/>
    <tableColumn id="9" xr3:uid="{072DFA28-3A99-48D9-9F87-0B9663CC8EBE}" name="dataType" dataDxfId="163"/>
    <tableColumn id="8" xr3:uid="{083C27B7-8723-4638-8D25-C880E916AEB0}" name="notes" dataDxfId="162"/>
    <tableColumn id="10" xr3:uid="{59B283EF-319C-46BD-B32A-C633A7A331B3}" name="scalar_rows" dataDxfId="161">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0:D213" totalsRowShown="0" headerRowDxfId="160" dataDxfId="159">
  <tableColumns count="3">
    <tableColumn id="1" xr3:uid="{D7815580-A46D-4035-AF95-6DFB7EDC1C86}" name="row_id" dataDxfId="158">
      <calculatedColumnFormula xml:space="preserve"> ROW( co_constants[[#This Row],[row_id]] ) - ROW( co_constants[[#Headers],[row_id]] )</calculatedColumnFormula>
    </tableColumn>
    <tableColumn id="4" xr3:uid="{7CEFD3F0-E79C-4BEE-B910-4D600E302386}" name="constant" dataDxfId="157"/>
    <tableColumn id="3" xr3:uid="{DB7DDBBB-C95A-4211-819C-B05A5C2E7319}" name="value" dataDxfId="156"/>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6:K117" totalsRowShown="0" headerRowDxfId="155" dataDxfId="154">
  <autoFilter ref="B76:K117" xr:uid="{2B645CB4-F641-4C38-A983-F38F00FA7B52}"/>
  <sortState xmlns:xlrd2="http://schemas.microsoft.com/office/spreadsheetml/2017/richdata2" ref="B77:K117">
    <sortCondition ref="C77:C117"/>
  </sortState>
  <tableColumns count="10">
    <tableColumn id="1" xr3:uid="{1BCFA006-CF85-4F3A-AC79-60916A48ED39}" name="row_id" dataDxfId="153" totalsRowDxfId="152">
      <calculatedColumnFormula xml:space="preserve"> ROW( co_variants[[#This Row],[row_id]] ) - ROW( co_variants[[#Headers],[row_id]] )</calculatedColumnFormula>
    </tableColumn>
    <tableColumn id="18" xr3:uid="{11CBE921-72AF-48C1-82DE-27D30284B810}" name="sector_id" dataDxfId="151" totalsRowDxfId="150"/>
    <tableColumn id="3" xr3:uid="{1A31D87B-CDD5-4D8C-A4C9-8892B2B2C1E8}" name="variant_label" dataDxfId="149" totalsRowDxfId="148"/>
    <tableColumn id="4" xr3:uid="{BD980D22-60C8-4EA5-878C-1F6646D73814}" name="variant_id" dataDxfId="147" totalsRowDxfId="146"/>
    <tableColumn id="2" xr3:uid="{AFC0EA26-897A-4565-AC43-EDE7CD2C7E8A}" name="variant_id_excel" dataDxfId="145" totalsRowDxfId="144"/>
    <tableColumn id="7" xr3:uid="{77C8D2EF-4466-45BD-90C6-9DB11F371760}" name="sectorprimary" dataDxfId="143" totalsRowDxfId="142"/>
    <tableColumn id="6" xr3:uid="{677E6396-DB82-43C2-B1C8-9CF8A385BC06}" name="includeaggregate" dataDxfId="141" totalsRowDxfId="140"/>
    <tableColumn id="19" xr3:uid="{C16D6C81-A98D-4F3D-B812-6AFD7158219C}" name="damageAdjName" dataDxfId="139" totalsRowDxfId="138">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7" totalsRowDxfId="136">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5">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2:E205" totalsRowShown="0" headerRowDxfId="134" dataDxfId="133">
  <tableColumns count="4">
    <tableColumn id="1" xr3:uid="{B5687CDE-96CA-4DF3-A45A-B2EDE1CC9A93}" name="row_id" dataDxfId="132">
      <calculatedColumnFormula xml:space="preserve"> ROW( co_econMultipliers[[#This Row],[row_id]] ) - ROW( co_econMultipliers[[#Headers],[row_id]] )</calculatedColumnFormula>
    </tableColumn>
    <tableColumn id="4" xr3:uid="{76AF9F40-EEBA-4ABF-82CC-7580151C94E2}" name="econMultiplierName" dataDxfId="131"/>
    <tableColumn id="3" xr3:uid="{BB4C0E23-5864-41DA-8215-7C526A80B49B}" name="econMultiplierDescription" dataDxfId="130"/>
    <tableColumn id="2" xr3:uid="{013806BA-C4E3-46FD-AD7B-D198CFA696CD}" name="valueYear" dataDxfId="129"/>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6:L260" totalsRowShown="0" headerRowDxfId="128" dataDxfId="127">
  <tableColumns count="11">
    <tableColumn id="1" xr3:uid="{66AD6D28-7A41-4AD2-93FD-110433F1C5A5}" name="row_id" dataDxfId="126">
      <calculatedColumnFormula xml:space="preserve"> ROW( co_inputScenarioInfo[[#This Row],[row_id]] ) - ROW( co_inputScenarioInfo[[#Headers],[row_id]] )</calculatedColumnFormula>
    </tableColumn>
    <tableColumn id="4" xr3:uid="{45198473-3D48-41CD-B663-D0AF13813C66}" name="inputName" dataDxfId="125"/>
    <tableColumn id="3" xr3:uid="{E3847F4D-6384-49D5-8156-9EC8E8221B62}" name="inputType" dataDxfId="124"/>
    <tableColumn id="5" xr3:uid="{98CB64F8-23F0-4402-9CE1-03695A07036B}" name="inputDesc" dataDxfId="123"/>
    <tableColumn id="11" xr3:uid="{6767F0F8-BE35-4ED7-8CC4-4EC46910597F}" name="importArgName" dataDxfId="122">
      <calculatedColumnFormula xml:space="preserve"> co_inputScenarioInfo[[#This Row],[inputName]] &amp; "file"</calculatedColumnFormula>
    </tableColumn>
    <tableColumn id="10" xr3:uid="{1DA97935-2C19-401C-B17D-EF908498B36F}" name="tempBinListName" dataDxfId="121">
      <calculatedColumnFormula xml:space="preserve"> co_inputScenarioInfo[[#This Row],[inputName]] &amp; "Input"</calculatedColumnFormula>
    </tableColumn>
    <tableColumn id="2" xr3:uid="{F9249B62-F8E8-46B3-88F1-E8E0903FDD4A}" name="inputUnit" dataDxfId="120"/>
    <tableColumn id="6" xr3:uid="{48BBD66A-C5AD-477C-84C9-E5FFE0D43B87}" name="inputMin" dataDxfId="119"/>
    <tableColumn id="7" xr3:uid="{05D78FF1-5FB5-4CB5-AB55-8F3089B354DC}" name="inputMax" dataDxfId="118">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7"/>
    <tableColumn id="9" xr3:uid="{AAA49909-67E1-4978-90ED-573C388A520B}" name="region" dataDxfId="116"/>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5" dataDxfId="114" dataCellStyle="Comma">
  <tableColumns count="10">
    <tableColumn id="12" xr3:uid="{0A89CE4B-8BE5-43BC-A51C-BD6CBE39EF8F}" name="row_id" dataDxfId="113" dataCellStyle="Comma">
      <calculatedColumnFormula xml:space="preserve"> ROW( co_defaultScenario[[#This Row],[row_id]] ) - ROW( co_defaultScenario[[#Headers],[row_id]] )</calculatedColumnFormula>
    </tableColumn>
    <tableColumn id="1" xr3:uid="{7A7DBB26-4C96-4158-9520-0B868F638DE3}" name="year" dataDxfId="112"/>
    <tableColumn id="3" xr3:uid="{5D94A0B8-5B52-499B-B23D-0A2D5730D551}" name="gdp_usd" dataDxfId="111" dataCellStyle="Comma"/>
    <tableColumn id="5" xr3:uid="{659D6246-4041-4DBC-AAED-B31108854E59}" name="pop_Midwest" dataDxfId="110" dataCellStyle="Comma"/>
    <tableColumn id="6" xr3:uid="{BF3527D1-840B-4CB0-8FA1-F7702C9908AE}" name="pop_Northeast" dataDxfId="109" dataCellStyle="Comma"/>
    <tableColumn id="7" xr3:uid="{35DB272A-66EC-46CE-93A9-20F94779BAF3}" name="pop_Northern.Plains" dataDxfId="108" dataCellStyle="Comma"/>
    <tableColumn id="8" xr3:uid="{55BC306A-A00D-4EE4-9211-F6147BF5E330}" name="pop_Northwest" dataDxfId="107" dataCellStyle="Comma"/>
    <tableColumn id="9" xr3:uid="{EA9DDCB9-3C37-4492-BE49-198660067F46}" name="pop_Southeast" dataDxfId="106" dataCellStyle="Comma"/>
    <tableColumn id="10" xr3:uid="{502BAA2C-0C26-48E2-9897-F916C0768CFF}" name="pop_Southern.Plains" dataDxfId="105" dataCellStyle="Comma"/>
    <tableColumn id="11" xr3:uid="{6C7C02DD-C215-4B9C-8FA9-4B3C99468E87}" name="pop_Southwest" dataDxfId="104"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3" dataDxfId="102">
  <autoFilter ref="B22:D113" xr:uid="{C0179B68-B689-4953-B236-407D919FF6CA}"/>
  <tableColumns count="3">
    <tableColumn id="1" xr3:uid="{229C0172-6118-4531-8FC2-3A035D17EE27}" name="row_id" dataDxfId="101">
      <calculatedColumnFormula xml:space="preserve"> ROW( co_defaultTemps[[#This Row],[row_id]] ) - ROW( co_defaultTemps[[#Headers],[row_id]] )</calculatedColumnFormula>
    </tableColumn>
    <tableColumn id="2" xr3:uid="{FE9368F1-AE5E-44BC-8FFF-69FF82E02318}" name="year" dataDxfId="100"/>
    <tableColumn id="3" xr3:uid="{45630D5D-C977-4FC5-9F88-824121D0F964}" name="temp_C_global" dataDxfId="99"/>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8">
      <calculatedColumnFormula xml:space="preserve"> ROW( Readme_adaptations[[#This Row],[row_id]] ) - ROW( Readme_adaptations[[#Headers],[row_id]] )</calculatedColumnFormula>
    </tableColumn>
    <tableColumn id="4" xr3:uid="{8F8CD713-0ECF-4957-8E94-F3FC5C746031}" name="sector_id" dataDxfId="9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6" dataDxfId="95">
  <autoFilter ref="B3:F5" xr:uid="{58C7AF19-DB28-47F8-BE56-AE985DF1009B}"/>
  <tableColumns count="5">
    <tableColumn id="1" xr3:uid="{055BC283-B8DC-4F37-B787-CE15D79337AE}" name="row_id" dataDxfId="94">
      <calculatedColumnFormula xml:space="preserve"> ROW( Readme_sectors[[#This Row],[row_id]] ) - ROW( Readme_sectors[[#Headers],[row_id]] )</calculatedColumnFormula>
    </tableColumn>
    <tableColumn id="4" xr3:uid="{F1DE1E87-7416-4EC2-83F4-443E818D69E2}" name="sector_id" dataDxfId="93"/>
    <tableColumn id="2" xr3:uid="{69F42C58-EA29-416E-A03E-490DCD1DAC6F}" name="adapt_id" dataDxfId="92"/>
    <tableColumn id="3" xr3:uid="{995768DD-996C-4A25-A331-EA651CF80A08}" name="adapt_label" dataDxfId="91"/>
    <tableColumn id="5" xr3:uid="{B607221E-C635-413E-A992-7E4B369F50F2}" name="Description" dataDxfId="9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9" dataDxfId="88">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7">
      <calculatedColumnFormula xml:space="preserve"> ROW( scalarDataframe[[#This Row],[row_id]] ) - ROW( scalarDataframe[[#Headers],[row_id]] )</calculatedColumnFormula>
    </tableColumn>
    <tableColumn id="7" xr3:uid="{5629A03B-F5E7-4251-8BE0-29755F9DEEF4}" name="scalarType" dataDxfId="86">
      <calculatedColumnFormula xml:space="preserve"> INDEX( co_scalarInfo[scalarType], MATCH( scalarDataframe[[#This Row],[scalarName]], co_scalarInfo[scalarName], 0 ) )</calculatedColumnFormula>
    </tableColumn>
    <tableColumn id="6" xr3:uid="{EAB00170-C54B-4F2E-A83B-7CD2973B9217}" name="scalarLabel" dataDxfId="85">
      <calculatedColumnFormula xml:space="preserve"> INDEX( co_scalarInfo[scalarLabel], MATCH( scalarDataframe[[#This Row],[scalarName]], co_scalarInfo[scalarName], 0 ) )</calculatedColumnFormula>
    </tableColumn>
    <tableColumn id="1" xr3:uid="{BEF24C34-21C6-484B-99B8-4D2302D0D7DE}" name="scalarName" dataDxfId="84"/>
    <tableColumn id="5" xr3:uid="{FACDE178-C405-470C-9ED1-05FB40F80840}" name="region" dataDxfId="83"/>
    <tableColumn id="14" xr3:uid="{BCE95E2F-5B10-4D18-9633-30354597338F}" name="year" dataDxfId="82"/>
    <tableColumn id="9" xr3:uid="{DE2AE657-02B0-46A2-B4A9-F8887225A818}" name="value" dataDxfId="81"/>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43" totalsRowShown="0" headerRowDxfId="80">
  <autoFilter ref="A1:P3043"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9">
      <calculatedColumnFormula xml:space="preserve"> ROW( data_scaledImpacts[[#This Row],[row_id]] ) - ROW( data_scaledImpacts[[#Headers],[row_id]] )</calculatedColumnFormula>
    </tableColumn>
    <tableColumn id="2" xr3:uid="{2DEF2382-F499-4843-895A-686011F97248}" name="output_lookupID" dataDxfId="78">
      <calculatedColumnFormula xml:space="preserve"> _xlfn.TEXTJOIN( "", , data_scaledImpacts[[#This Row],[sector]:[impactType]] )</calculatedColumnFormula>
    </tableColumn>
    <tableColumn id="3" xr3:uid="{A07F71E0-9C40-47D4-89FF-270CA2449A8D}" name="sector" dataDxfId="77"/>
    <tableColumn id="4" xr3:uid="{DA36AA1F-6D86-4CA8-8836-A83B43C67B05}" name="model" dataDxfId="76"/>
    <tableColumn id="5" xr3:uid="{EDD0DD68-817F-473E-B837-7D264DAF7650}" name="modelUnitValue" dataDxfId="75"/>
    <tableColumn id="6" xr3:uid="{E4181268-243D-4157-BBEA-8F6D73BCFDA4}" name="impactYear" dataDxfId="74"/>
    <tableColumn id="7" xr3:uid="{6BC8264A-FD6A-4A74-A54E-E4BEFFC2FF0E}" name="variant" dataDxfId="73"/>
    <tableColumn id="8" xr3:uid="{35492AA1-EFA5-4FC6-9F20-F1C21885CFDF}" name="impactType" dataDxfId="72"/>
    <tableColumn id="9" xr3:uid="{8E5D0643-1EAD-47B7-8617-B171A8E0D4EB}" name="outputRowID" dataDxfId="71"/>
    <tableColumn id="10" xr3:uid="{122E93D1-4EA3-4143-97BA-B5275F944BBD}" name="Midwest" dataDxfId="70"/>
    <tableColumn id="11" xr3:uid="{418427BF-1380-45E4-AD6C-C5977A99F193}" name="Northeast" dataDxfId="69"/>
    <tableColumn id="12" xr3:uid="{9DEAAC4E-3E55-4B79-9BAD-D335847FE7D8}" name="Northern Plains" dataDxfId="68"/>
    <tableColumn id="13" xr3:uid="{D6C03439-E08A-406A-9A6A-F53A9BBCE9D2}" name="Northwest" dataDxfId="67"/>
    <tableColumn id="14" xr3:uid="{FF22C76C-80D3-41A5-A330-0813F552BE4C}" name="Southeast" dataDxfId="66"/>
    <tableColumn id="15" xr3:uid="{6C639293-A12E-4E73-9BF5-C4950AD60486}" name="Southern Plains" dataDxfId="65"/>
    <tableColumn id="16" xr3:uid="{FF5717EE-9829-4FC1-94B6-E37C39E8D565}" name="Southwest" dataDxfId="64"/>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3">
      <calculatedColumnFormula xml:space="preserve"> ROW( slr_cm[[#This Row],[row_id]] ) - ROW( slr_cm[[#Headers],[row_id]] )</calculatedColumnFormula>
    </tableColumn>
    <tableColumn id="1" xr3:uid="{FA4EDD13-4E7E-45A3-BAE3-E9197F3C6F46}" name="year" dataDxfId="62"/>
    <tableColumn id="2" xr3:uid="{8C03079C-35A7-401C-8DAF-080D8590CAF6}" name="0_cm" dataDxfId="61"/>
    <tableColumn id="8" xr3:uid="{BF06645C-1E6B-49DC-BFF3-41DC055BA794}" name="30_cm" dataDxfId="60"/>
    <tableColumn id="7" xr3:uid="{A579CC42-A3A8-4F15-AA9F-71AF71D9FC92}" name="50_cm" dataDxfId="59"/>
    <tableColumn id="6" xr3:uid="{3B78BF10-85AF-4256-B6E0-8C448D28F844}" name="100_cm" dataDxfId="58"/>
    <tableColumn id="5" xr3:uid="{B9B22AB8-C0E3-43FA-8E5B-D07A4AB2C538}" name="150_cm" dataDxfId="57"/>
    <tableColumn id="4" xr3:uid="{763A0097-0CCB-4D1D-A0D6-FDF4FE810AFE}" name="200_cm" dataDxfId="56"/>
    <tableColumn id="3" xr3:uid="{FB0A96A9-E5BF-4003-9D05-D514A5B55CB9}" name="250_cm" dataDxfId="55"/>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4" dataDxfId="53">
  <autoFilter ref="A1:AV607" xr:uid="{1E2BDA83-F146-4F19-98EB-1C14987FA9A2}"/>
  <tableColumns count="48">
    <tableColumn id="1" xr3:uid="{1AF6ADF4-8505-4AE3-B9CF-7B2E19067C27}" name="row_id" dataDxfId="52">
      <calculatedColumnFormula xml:space="preserve"> ROW( slrImpacts[[#This Row],[row_id]] ) - ROW( slrImpacts[[#Headers],[row_id]] )</calculatedColumnFormula>
    </tableColumn>
    <tableColumn id="2" xr3:uid="{43959032-2245-415B-8ED2-21DB4CD1B12D}" name="year" dataDxfId="51"/>
    <tableColumn id="34" xr3:uid="{36F985FC-77EB-47D2-A1FE-2F2082E6D376}" name="sector" dataDxfId="50"/>
    <tableColumn id="33" xr3:uid="{2B5236CB-9F95-4A4C-87A0-3CE9BE2C7E73}" name="variant" dataDxfId="49"/>
    <tableColumn id="47" xr3:uid="{C72A8BD2-368D-4792-B823-AB419436D208}" name="impactType" dataDxfId="48"/>
    <tableColumn id="48" xr3:uid="{DFF477B8-9820-4C99-8CCB-2CCE11ECACF1}" name="impactYear" dataDxfId="47"/>
    <tableColumn id="40" xr3:uid="{59ABB601-B3FB-4C8C-9E90-0D4D313FAF3F}" name="Midwest_30" dataDxfId="46"/>
    <tableColumn id="39" xr3:uid="{F84FDD51-A91A-4DC6-816F-44511CF9870D}" name="Midwest_50" dataDxfId="45"/>
    <tableColumn id="38" xr3:uid="{193117A6-0076-4C6E-92F6-E195305CA75F}" name="Midwest_100" dataDxfId="44"/>
    <tableColumn id="37" xr3:uid="{E95A863E-DC23-49E3-8747-1140239EB542}" name="Midwest_150" dataDxfId="43"/>
    <tableColumn id="36" xr3:uid="{9DCAC172-4EFA-4F72-94A9-25FFCE6BABCB}" name="Midwest_200" dataDxfId="42"/>
    <tableColumn id="35" xr3:uid="{00596647-30A5-4FDE-A2C2-91C99C976DEE}" name="Midwest_250" dataDxfId="41"/>
    <tableColumn id="3" xr3:uid="{83D2C515-6A08-43C8-B8A0-3D6BA255FF7F}" name="Northeast_30" dataDxfId="40"/>
    <tableColumn id="4" xr3:uid="{74F081E1-9034-47BC-A276-9B7F094EE5A3}" name="Northeast_50" dataDxfId="39"/>
    <tableColumn id="5" xr3:uid="{8F3D127C-0F6E-43FB-B037-CC9DA3EAEA3F}" name="Northeast_100" dataDxfId="38"/>
    <tableColumn id="6" xr3:uid="{0B383C74-86B0-4E8A-845D-73DCE318AF7B}" name="Northeast_150" dataDxfId="37"/>
    <tableColumn id="7" xr3:uid="{E052B2E8-57BD-4F48-A568-09E673E2128C}" name="Northeast_200" dataDxfId="36"/>
    <tableColumn id="8" xr3:uid="{55B448A4-20D4-488F-A0A4-162F80E5057D}" name="Northeast_250" dataDxfId="35"/>
    <tableColumn id="46" xr3:uid="{ACCB58E3-4DBC-47FB-9071-3026A9D2CD18}" name="Northern Plains_30" dataDxfId="34"/>
    <tableColumn id="45" xr3:uid="{B443D41D-6370-4E34-9C3A-032FAA2D4EB9}" name="Northern Plains_50" dataDxfId="33"/>
    <tableColumn id="44" xr3:uid="{9B782C49-A9FB-4697-9075-383E342315C1}" name="Northern Plains_100" dataDxfId="32"/>
    <tableColumn id="43" xr3:uid="{00CE473E-B64A-42FF-BF91-E6528F343B44}" name="Northern Plains_150" dataDxfId="31"/>
    <tableColumn id="42" xr3:uid="{C209AAAD-9D09-45FE-97E8-3F06D9F9BD04}" name="Northern Plains_200" dataDxfId="30"/>
    <tableColumn id="41" xr3:uid="{610E1419-80D8-4CBA-BBE1-60989C94E642}" name="Northern Plains_250" dataDxfId="29"/>
    <tableColumn id="9" xr3:uid="{42F55640-6505-49F6-A864-7FE23725A39C}" name="Northwest_30" dataDxfId="28"/>
    <tableColumn id="10" xr3:uid="{6F6846C5-B6E4-4804-824A-32DB6379905F}" name="Northwest_50" dataDxfId="27"/>
    <tableColumn id="11" xr3:uid="{34152EE8-AA27-4972-A142-D7B0660F7ED4}" name="Northwest_100" dataDxfId="26"/>
    <tableColumn id="12" xr3:uid="{26DDDCE7-D1BE-4EBB-BB1B-67E6A1E6B729}" name="Northwest_150" dataDxfId="25"/>
    <tableColumn id="13" xr3:uid="{A5BC1F5E-D5B8-4EBB-8261-AD1947BA3A5E}" name="Northwest_200" dataDxfId="24"/>
    <tableColumn id="14" xr3:uid="{BF9A5867-33A2-4645-A46F-7B030AA78FAA}" name="Northwest_250" dataDxfId="23"/>
    <tableColumn id="15" xr3:uid="{DC131674-9A7E-4E00-B1F9-B404E865183F}" name="Southeast_30" dataDxfId="22"/>
    <tableColumn id="16" xr3:uid="{46332F35-94C5-424B-8B00-288002E867C6}" name="Southeast_50" dataDxfId="21"/>
    <tableColumn id="17" xr3:uid="{CCE5A40C-062C-4528-84C8-C057DBF195FF}" name="Southeast_100" dataDxfId="20"/>
    <tableColumn id="18" xr3:uid="{D9200857-AC1F-4DAE-A17A-C7DE6B22AD9A}" name="Southeast_150" dataDxfId="19"/>
    <tableColumn id="19" xr3:uid="{FFCB728A-6B07-4E7F-BD0B-F3FEDCF9EF70}" name="Southeast_200" dataDxfId="18"/>
    <tableColumn id="20" xr3:uid="{67E39E52-C626-4D35-B947-6885E61FCCF6}" name="Southeast_250" dataDxfId="17"/>
    <tableColumn id="27" xr3:uid="{989D7D26-3A17-4BEA-875A-F41C9D179548}" name="Southern Plains_30" dataDxfId="16"/>
    <tableColumn id="28" xr3:uid="{8212CD6D-3B08-45EC-A7DD-F3E879A4E433}" name="Southern Plains_50" dataDxfId="15"/>
    <tableColumn id="29" xr3:uid="{535F6147-6830-4343-88CD-EA49EB1C82ED}" name="Southern Plains_100" dataDxfId="14"/>
    <tableColumn id="30" xr3:uid="{64107A0B-DEF5-4093-BDD7-CCBF08CB819F}" name="Southern Plains_150" dataDxfId="13"/>
    <tableColumn id="31" xr3:uid="{DA051E0B-C5DA-4D3E-9988-13D784BC4003}" name="Southern Plains_200" dataDxfId="12"/>
    <tableColumn id="32" xr3:uid="{0DB15A09-B6D5-4A12-943F-EB86B7C8BFC9}" name="Southern Plains_250" dataDxfId="11"/>
    <tableColumn id="21" xr3:uid="{ABF1E75D-2BCB-4098-9306-ED4F6FF6E6D0}" name="Southwest_30" dataDxfId="10"/>
    <tableColumn id="22" xr3:uid="{00B9C446-629F-46C9-B629-9804A9A27C17}" name="Southwest_50" dataDxfId="9"/>
    <tableColumn id="23" xr3:uid="{E76D3773-0B2F-44FB-B02D-FC48DF45BD1C}" name="Southwest_100" dataDxfId="8"/>
    <tableColumn id="24" xr3:uid="{4C48D194-9727-43DD-9FE8-D0B8E5BD072C}" name="Southwest_150" dataDxfId="7"/>
    <tableColumn id="25" xr3:uid="{D22B7013-4A18-40D3-B394-33A65BA629A1}" name="Southwest_200" dataDxfId="6"/>
    <tableColumn id="26" xr3:uid="{A5E2AB4E-C94A-4C64-889A-1D0CEE4CF2F3}" name="Southwest_250" dataDxfId="5"/>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 ref="N3" dT="2023-01-20T18:01:19.03" personId="{00000000-0000-0000-0000-000000000000}" id="{8CBC150C-15DB-4F33-9FEE-009F87FE9766}">
    <text>Check flag expectations at load_data step</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6" dT="2021-01-25T18:27:33.65" personId="{00000000-0000-0000-0000-000000000000}" id="{40274E0A-9A04-480D-A5E8-2C38F8B3CAD3}">
    <text>Empty values are replaced with "NA" in the R tool.</text>
  </threadedComment>
  <threadedComment ref="E76" dT="2022-09-13T14:35:47.65" personId="{00000000-0000-0000-0000-000000000000}" id="{61FF9366-C253-4143-8900-DE7FDB924463}">
    <text>No spaces in this ID!</text>
  </threadedComment>
  <threadedComment ref="F76" dT="2021-01-25T18:27:05.88" personId="{00000000-0000-0000-0000-000000000000}" id="{542BB73C-7B7B-47C8-9756-BF410F525304}">
    <text>"N/A" is converted to "NA" in the R Tool</text>
  </threadedComment>
  <threadedComment ref="G7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6" dT="2021-04-02T15:33:36.18" personId="{00000000-0000-0000-0000-000000000000}" id="{3962DDEC-520D-4477-AB4D-6A758B04F9CC}">
    <text>Boolean field -- indicates whether a sector includes sub-impact estimates. See sector table above for list of sub-impact estimates.</text>
  </threadedComment>
  <threadedComment ref="F121" dT="2021-01-25T18:27:53.76" personId="{00000000-0000-0000-0000-000000000000}" id="{46412BAC-F8AA-4C6A-9657-79D004ABECB6}">
    <text>Empty values are replaced with "NA" in the R tool.</text>
  </threadedComment>
  <threadedComment ref="R121" dT="2021-01-25T18:07:09.78" personId="{00000000-0000-0000-0000-000000000000}" id="{CEA9DDE6-3350-41DC-8E42-E0F398550E2B}">
    <text>Check presence of data in the table.</text>
  </threadedComment>
  <threadedComment ref="I139" dT="2021-04-29T18:53:19.81" personId="{00000000-0000-0000-0000-000000000000}" id="{B944EC01-36D0-40EC-99E6-BA8270B055AE}">
    <text>May add a physical scalar in the future - total regional property value</text>
  </threadedComment>
  <threadedComment ref="I139" dT="2021-04-29T18:53:45.21" personId="{00000000-0000-0000-0000-000000000000}" id="{D0F6E8CF-0610-4E7B-8A56-BC47CE157016}" parentId="{B944EC01-36D0-40EC-99E6-BA8270B055AE}">
    <text>For now keeping it without, for consistency with coastal properties</text>
  </threadedComment>
  <threadedComment ref="F16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8" dT="2021-02-11T17:01:11.40" personId="{00000000-0000-0000-0000-000000000000}" id="{74E8C379-DF77-4FAE-8C13-4D0000C68271}">
    <text>Year when change and impacts are zero</text>
  </threadedComment>
  <threadedComment ref="K218" dT="2021-02-15T18:58:52.31" personId="{00000000-0000-0000-0000-000000000000}" id="{984021BA-DD3F-4758-AAFF-698CBFB1E97F}">
    <text>Maximum value to extrapolate to, for models that go up to the maximum output value.</text>
  </threadedComment>
  <threadedComment ref="F256" dT="2021-03-30T17:50:58.78" personId="{00000000-0000-0000-0000-000000000000}" id="{A6091107-2825-473E-BBBE-411522F90494}">
    <text>Name of argument to import_inputs</text>
  </threadedComment>
  <threadedComment ref="G256" dT="2021-03-30T17:49:55.46" personId="{00000000-0000-0000-0000-000000000000}" id="{A03B3CB5-A1AE-46DC-B1DB-A9148D8693C3}">
    <text>Name of list element name of input to tempBin</text>
  </threadedComment>
  <threadedComment ref="L25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C56" sqref="C56"/>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P20"/>
  <sheetViews>
    <sheetView topLeftCell="B3" workbookViewId="0">
      <pane xSplit="2" topLeftCell="H1" activePane="topRight" state="frozen"/>
      <selection activeCell="B1" sqref="B1"/>
      <selection pane="topRight" activeCell="H6" sqref="H6"/>
    </sheetView>
  </sheetViews>
  <sheetFormatPr defaultRowHeight="15" x14ac:dyDescent="0.25"/>
  <cols>
    <col min="1" max="1" width="11.85546875" customWidth="1"/>
    <col min="3" max="3" width="22.85546875" customWidth="1"/>
    <col min="4" max="13" width="14.5703125" customWidth="1"/>
    <col min="14" max="14" width="14.5703125" style="17" customWidth="1"/>
    <col min="15" max="15" width="60.5703125" style="26" customWidth="1"/>
    <col min="16" max="16" width="14.5703125" style="17" customWidth="1"/>
    <col min="17" max="17" width="60.5703125" customWidth="1"/>
    <col min="18" max="18" width="15.7109375" customWidth="1"/>
  </cols>
  <sheetData>
    <row r="1" spans="1:16" x14ac:dyDescent="0.25">
      <c r="A1" t="s">
        <v>245</v>
      </c>
      <c r="B1" s="5" t="s">
        <v>246</v>
      </c>
    </row>
    <row r="2" spans="1:16" s="17" customFormat="1" x14ac:dyDescent="0.25">
      <c r="B2" s="5"/>
      <c r="O2" s="26"/>
    </row>
    <row r="3" spans="1:16"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10" t="s">
        <v>1268</v>
      </c>
      <c r="O3" s="16" t="s">
        <v>229</v>
      </c>
      <c r="P3"/>
    </row>
    <row r="4" spans="1:16"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24</v>
      </c>
      <c r="I4" s="80">
        <f ca="1" xml:space="preserve"> doc_tablesList[[#This Row],[Number of Data Rows]] + doc_tablesList[[#This Row],[Header Row]]</f>
        <v>42</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3" t="s">
        <v>1269</v>
      </c>
      <c r="O4" s="112" t="s">
        <v>1237</v>
      </c>
      <c r="P4"/>
    </row>
    <row r="5" spans="1:16"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3" t="s">
        <v>1269</v>
      </c>
      <c r="O5" s="112" t="s">
        <v>252</v>
      </c>
      <c r="P5"/>
    </row>
    <row r="6" spans="1:16"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3042</v>
      </c>
      <c r="I6" s="109">
        <f ca="1" xml:space="preserve"> doc_tablesList[[#This Row],[Number of Data Rows]] + doc_tablesList[[#This Row],[Header Row]]</f>
        <v>3043</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3" t="s">
        <v>1269</v>
      </c>
      <c r="O6" s="112" t="s">
        <v>954</v>
      </c>
      <c r="P6"/>
    </row>
    <row r="7" spans="1:16"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3" t="s">
        <v>1269</v>
      </c>
      <c r="O7" s="112" t="s">
        <v>830</v>
      </c>
      <c r="P7"/>
    </row>
    <row r="8" spans="1:16"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3" t="s">
        <v>1269</v>
      </c>
      <c r="O8" s="112"/>
    </row>
    <row r="9" spans="1:16"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76</v>
      </c>
      <c r="H9" s="109">
        <f ca="1" xml:space="preserve"> MAX( INDIRECT( _xlfn.TEXTJOIN( "", , doc_tablesList[[#This Row],[Table Name]], "[", doc_tablesList[[#This Row],[ID_columnName]], "]" ) ) )</f>
        <v>41</v>
      </c>
      <c r="I9" s="109">
        <f ca="1" xml:space="preserve"> doc_tablesList[[#This Row],[Number of Data Rows]] + doc_tablesList[[#This Row],[Header Row]]</f>
        <v>117</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3" t="s">
        <v>1269</v>
      </c>
      <c r="O9" s="112" t="s">
        <v>1236</v>
      </c>
      <c r="P9"/>
    </row>
    <row r="10" spans="1:16"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46</v>
      </c>
      <c r="H10" s="109">
        <f ca="1" xml:space="preserve"> MAX( INDIRECT( _xlfn.TEXTJOIN( "", , doc_tablesList[[#This Row],[Table Name]], "[", doc_tablesList[[#This Row],[ID_columnName]], "]" ) ) )</f>
        <v>24</v>
      </c>
      <c r="I10" s="109">
        <f ca="1" xml:space="preserve"> doc_tablesList[[#This Row],[Number of Data Rows]] + doc_tablesList[[#This Row],[Header Row]]</f>
        <v>70</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3" t="s">
        <v>1269</v>
      </c>
      <c r="O10" s="112" t="s">
        <v>937</v>
      </c>
      <c r="P10"/>
    </row>
    <row r="11" spans="1:16"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121</v>
      </c>
      <c r="H11" s="109">
        <f ca="1" xml:space="preserve"> MAX( INDIRECT( _xlfn.TEXTJOIN( "", , doc_tablesList[[#This Row],[Table Name]], "[", doc_tablesList[[#This Row],[ID_columnName]], "]" ) ) )</f>
        <v>42</v>
      </c>
      <c r="I11" s="109">
        <f ca="1" xml:space="preserve"> doc_tablesList[[#This Row],[Number of Data Rows]] + doc_tablesList[[#This Row],[Header Row]]</f>
        <v>163</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3" t="s">
        <v>1269</v>
      </c>
      <c r="O11" s="112" t="s">
        <v>936</v>
      </c>
      <c r="P11"/>
    </row>
    <row r="12" spans="1:16"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168</v>
      </c>
      <c r="H12" s="109">
        <f ca="1" xml:space="preserve"> MAX( INDIRECT( _xlfn.TEXTJOIN( "", , doc_tablesList[[#This Row],[Table Name]], "[", doc_tablesList[[#This Row],[ID_columnName]], "]" ) ) )</f>
        <v>29</v>
      </c>
      <c r="I12" s="109">
        <f ca="1" xml:space="preserve"> doc_tablesList[[#This Row],[Number of Data Rows]] + doc_tablesList[[#This Row],[Header Row]]</f>
        <v>197</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3" t="s">
        <v>1269</v>
      </c>
      <c r="O12" s="112" t="s">
        <v>938</v>
      </c>
      <c r="P12"/>
    </row>
    <row r="13" spans="1:16"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244</v>
      </c>
      <c r="H13" s="109">
        <f ca="1" xml:space="preserve"> MAX( INDIRECT( _xlfn.TEXTJOIN( "", , doc_tablesList[[#This Row],[Table Name]], "[", doc_tablesList[[#This Row],[ID_columnName]], "]" ) ) )</f>
        <v>7</v>
      </c>
      <c r="I13" s="109">
        <f ca="1" xml:space="preserve"> doc_tablesList[[#This Row],[Number of Data Rows]] + doc_tablesList[[#This Row],[Header Row]]</f>
        <v>251</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3" t="s">
        <v>1269</v>
      </c>
      <c r="O13" s="112" t="s">
        <v>939</v>
      </c>
      <c r="P13"/>
    </row>
    <row r="14" spans="1:16"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225</v>
      </c>
      <c r="H14" s="109">
        <f ca="1" xml:space="preserve"> MAX( INDIRECT( _xlfn.TEXTJOIN( "", , doc_tablesList[[#This Row],[Table Name]], "[", doc_tablesList[[#This Row],[ID_columnName]], "]" ) ) )</f>
        <v>14</v>
      </c>
      <c r="I14" s="109">
        <f ca="1" xml:space="preserve"> doc_tablesList[[#This Row],[Number of Data Rows]] + doc_tablesList[[#This Row],[Header Row]]</f>
        <v>239</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3" t="s">
        <v>1269</v>
      </c>
      <c r="O14" s="112" t="s">
        <v>940</v>
      </c>
      <c r="P14"/>
    </row>
    <row r="15" spans="1:16" x14ac:dyDescent="0.25">
      <c r="B15" s="8">
        <f xml:space="preserve"> ROW( doc_tablesList[[#This Row],[ID]] ) - ROW(doc_tablesList[[#Headers],[ID]] )</f>
        <v>12</v>
      </c>
      <c r="C15" s="19" t="s">
        <v>918</v>
      </c>
      <c r="D15" s="75">
        <v>1</v>
      </c>
      <c r="E15" s="19" t="s">
        <v>971</v>
      </c>
      <c r="F15" s="77" t="str">
        <f t="shared" ref="F15:F17" si="2" xml:space="preserve"> "row_id"</f>
        <v>row_id</v>
      </c>
      <c r="G15" s="109" cm="1">
        <f t="array" aca="1" ref="G15" ca="1" xml:space="preserve"> INDEX( ROW( INDIRECT( _xlfn.TEXTJOIN( "", , doc_tablesList[[#This Row],[Table Name]], "[[#Headers],[", doc_tablesList[[#This Row],[ID_columnName]], "]]" ) ) ), 1 )</f>
        <v>202</v>
      </c>
      <c r="H15" s="109">
        <f ca="1" xml:space="preserve"> MAX( INDIRECT( _xlfn.TEXTJOIN( "", , doc_tablesList[[#This Row],[Table Name]], "[", doc_tablesList[[#This Row],[ID_columnName]], "]" ) ) )</f>
        <v>3</v>
      </c>
      <c r="I15" s="109">
        <f ca="1" xml:space="preserve"> doc_tablesList[[#This Row],[Number of Data Rows]] + doc_tablesList[[#This Row],[Header Row]]</f>
        <v>205</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3" t="s">
        <v>1269</v>
      </c>
      <c r="O15" s="112" t="s">
        <v>941</v>
      </c>
      <c r="P15"/>
    </row>
    <row r="16" spans="1:16" x14ac:dyDescent="0.25">
      <c r="B16" s="8">
        <f xml:space="preserve"> ROW( doc_tablesList[[#This Row],[ID]] ) - ROW(doc_tablesList[[#Headers],[ID]] )</f>
        <v>13</v>
      </c>
      <c r="C16" s="19" t="s">
        <v>970</v>
      </c>
      <c r="D16" s="75">
        <v>1</v>
      </c>
      <c r="E16" s="19" t="s">
        <v>971</v>
      </c>
      <c r="F16" s="77" t="str">
        <f t="shared" si="2"/>
        <v>row_id</v>
      </c>
      <c r="G16" s="109" cm="1">
        <f t="array" aca="1" ref="G16" ca="1" xml:space="preserve"> INDEX( ROW( INDIRECT( _xlfn.TEXTJOIN( "", , doc_tablesList[[#This Row],[Table Name]], "[[#Headers],[", doc_tablesList[[#This Row],[ID_columnName]], "]]" ) ) ), 1 )</f>
        <v>218</v>
      </c>
      <c r="H16" s="109">
        <f ca="1" xml:space="preserve"> MAX( INDIRECT( _xlfn.TEXTJOIN( "", , doc_tablesList[[#This Row],[Table Name]], "[", doc_tablesList[[#This Row],[ID_columnName]], "]" ) ) )</f>
        <v>2</v>
      </c>
      <c r="I16" s="109">
        <f ca="1" xml:space="preserve"> doc_tablesList[[#This Row],[Number of Data Rows]] + doc_tablesList[[#This Row],[Header Row]]</f>
        <v>220</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3" t="s">
        <v>1269</v>
      </c>
      <c r="O16" s="112" t="s">
        <v>1000</v>
      </c>
    </row>
    <row r="17" spans="2:15" x14ac:dyDescent="0.25">
      <c r="B17" s="8">
        <f xml:space="preserve"> ROW( doc_tablesList[[#This Row],[ID]] ) - ROW(doc_tablesList[[#Headers],[ID]] )</f>
        <v>14</v>
      </c>
      <c r="C17" s="19" t="s">
        <v>1066</v>
      </c>
      <c r="D17" s="75">
        <v>1</v>
      </c>
      <c r="E17" s="19" t="s">
        <v>971</v>
      </c>
      <c r="F17" s="77" t="str">
        <f t="shared" si="2"/>
        <v>row_id</v>
      </c>
      <c r="G17" s="109" cm="1">
        <f t="array" aca="1" ref="G17" ca="1" xml:space="preserve"> INDEX( ROW( INDIRECT( _xlfn.TEXTJOIN( "", , doc_tablesList[[#This Row],[Table Name]], "[[#Headers],[", doc_tablesList[[#This Row],[ID_columnName]], "]]" ) ) ), 1 )</f>
        <v>256</v>
      </c>
      <c r="H17" s="109">
        <f ca="1" xml:space="preserve"> MAX( INDIRECT( _xlfn.TEXTJOIN( "", , doc_tablesList[[#This Row],[Table Name]], "[", doc_tablesList[[#This Row],[ID_columnName]], "]" ) ) )</f>
        <v>4</v>
      </c>
      <c r="I17" s="109">
        <f ca="1" xml:space="preserve"> doc_tablesList[[#This Row],[Number of Data Rows]] + doc_tablesList[[#This Row],[Header Row]]</f>
        <v>260</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3" t="s">
        <v>1269</v>
      </c>
      <c r="O17" s="112" t="s">
        <v>1067</v>
      </c>
    </row>
    <row r="18" spans="2:15" s="17" customFormat="1" x14ac:dyDescent="0.25">
      <c r="B18" s="8">
        <f xml:space="preserve"> ROW( doc_tablesList[[#This Row],[ID]] ) - ROW(doc_tablesList[[#Headers],[ID]] )</f>
        <v>15</v>
      </c>
      <c r="C18" s="19" t="s">
        <v>1158</v>
      </c>
      <c r="D18" s="75">
        <v>1</v>
      </c>
      <c r="E18" s="19" t="s">
        <v>1158</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606</v>
      </c>
      <c r="I18" s="109">
        <f ca="1" xml:space="preserve"> doc_tablesList[[#This Row],[Number of Data Rows]] + doc_tablesList[[#This Row],[Header Row]]</f>
        <v>607</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48</v>
      </c>
      <c r="L18" s="109">
        <f ca="1" xml:space="preserve"> doc_tablesList[[#This Row],[last_colIndex]] - doc_tablesList[[#This Row],[id_colIndex]] + 1</f>
        <v>48</v>
      </c>
      <c r="M18" s="113"/>
      <c r="N18" s="113"/>
      <c r="O18" s="112"/>
    </row>
    <row r="19" spans="2:15" x14ac:dyDescent="0.25">
      <c r="B19" s="8">
        <f xml:space="preserve"> ROW( doc_tablesList[[#This Row],[ID]] ) - ROW(doc_tablesList[[#Headers],[ID]] )</f>
        <v>16</v>
      </c>
      <c r="C19" s="19" t="s">
        <v>1065</v>
      </c>
      <c r="D19" s="75">
        <v>1</v>
      </c>
      <c r="E19" s="19" t="s">
        <v>1065</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101</v>
      </c>
      <c r="I19" s="109">
        <f ca="1" xml:space="preserve"> doc_tablesList[[#This Row],[Number of Data Rows]] + doc_tablesList[[#This Row],[Header Row]]</f>
        <v>102</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9</v>
      </c>
      <c r="L19" s="109">
        <f ca="1" xml:space="preserve"> doc_tablesList[[#This Row],[last_colIndex]] - doc_tablesList[[#This Row],[id_colIndex]] + 1</f>
        <v>9</v>
      </c>
      <c r="M19" s="113"/>
      <c r="N19" s="113"/>
      <c r="O19" s="112"/>
    </row>
    <row r="20" spans="2:15" x14ac:dyDescent="0.25">
      <c r="B20" s="8">
        <f xml:space="preserve"> ROW( doc_tablesList[[#This Row],[ID]] ) - ROW(doc_tablesList[[#Headers],[ID]] )</f>
        <v>17</v>
      </c>
      <c r="C20" s="19" t="s">
        <v>1273</v>
      </c>
      <c r="D20" s="75">
        <v>1</v>
      </c>
      <c r="E20" s="19" t="s">
        <v>1273</v>
      </c>
      <c r="F20" s="77" t="str">
        <f xml:space="preserve"> "row_id"</f>
        <v>row_id</v>
      </c>
      <c r="G20" s="109" cm="1">
        <f t="array" aca="1" ref="G20" ca="1" xml:space="preserve"> INDEX( ROW( INDIRECT( _xlfn.TEXTJOIN( "", , doc_tablesList[[#This Row],[Table Name]], "[[#Headers],[", doc_tablesList[[#This Row],[ID_columnName]], "]]" ) ) ), 1 )</f>
        <v>3</v>
      </c>
      <c r="H20" s="109">
        <f ca="1" xml:space="preserve"> MAX( INDIRECT( _xlfn.TEXTJOIN( "", , doc_tablesList[[#This Row],[Table Name]], "[", doc_tablesList[[#This Row],[ID_columnName]], "]" ) ) )</f>
        <v>25</v>
      </c>
      <c r="I20" s="109">
        <f ca="1" xml:space="preserve"> doc_tablesList[[#This Row],[Number of Data Rows]] + doc_tablesList[[#This Row],[Header Row]]</f>
        <v>28</v>
      </c>
      <c r="J20" s="109" cm="1">
        <f t="array" aca="1" ref="J20" ca="1" xml:space="preserve"> INDEX( COLUMN( INDIRECT( doc_tablesList[[#This Row],[Table Name]] &amp; "[" &amp; doc_tablesList[[#This Row],[ID_columnName]] &amp; "]" ) ), 1 )</f>
        <v>2</v>
      </c>
      <c r="K20" s="109" cm="1">
        <f t="array" aca="1" ref="K20" ca="1" xml:space="preserve"> MAX( COLUMN( INDIRECT( doc_tablesList[[#This Row],[Table Name]] ) ) )</f>
        <v>5</v>
      </c>
      <c r="L20" s="109">
        <f ca="1" xml:space="preserve"> doc_tablesList[[#This Row],[last_colIndex]] - doc_tablesList[[#This Row],[id_colIndex]] + 1</f>
        <v>4</v>
      </c>
      <c r="M20" s="113"/>
      <c r="N20" s="113"/>
      <c r="O20" s="112"/>
    </row>
  </sheetData>
  <phoneticPr fontId="10" type="noConversion"/>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5D95-2AF1-4EB6-8E07-F91C30FC7A39}">
  <sheetPr>
    <tabColor theme="5" tint="0.39997558519241921"/>
  </sheetPr>
  <dimension ref="A1:E28"/>
  <sheetViews>
    <sheetView tabSelected="1" workbookViewId="0">
      <selection activeCell="E6" sqref="E6"/>
    </sheetView>
  </sheetViews>
  <sheetFormatPr defaultColWidth="9.140625" defaultRowHeight="15" x14ac:dyDescent="0.25"/>
  <cols>
    <col min="1" max="1" width="11.85546875" style="17" customWidth="1"/>
    <col min="2" max="2" width="9.140625" style="17"/>
    <col min="3" max="3" width="22.85546875" style="17" customWidth="1"/>
    <col min="4" max="4" width="14.5703125" style="17" customWidth="1"/>
    <col min="5" max="5" width="95" style="17" customWidth="1"/>
    <col min="6" max="6" width="12.140625" style="17" bestFit="1" customWidth="1"/>
    <col min="7" max="7" width="14.5703125" style="17" customWidth="1"/>
    <col min="8" max="8" width="60.5703125" style="17" customWidth="1"/>
    <col min="9" max="9" width="15.7109375" style="17" customWidth="1"/>
    <col min="10" max="16384" width="9.140625" style="17"/>
  </cols>
  <sheetData>
    <row r="1" spans="1:5" x14ac:dyDescent="0.25">
      <c r="A1" s="17" t="s">
        <v>245</v>
      </c>
      <c r="B1" s="5" t="s">
        <v>246</v>
      </c>
    </row>
    <row r="2" spans="1:5" x14ac:dyDescent="0.25">
      <c r="B2" s="5"/>
    </row>
    <row r="3" spans="1:5" ht="25.5" x14ac:dyDescent="0.25">
      <c r="B3" s="16" t="s">
        <v>780</v>
      </c>
      <c r="C3" s="16" t="s">
        <v>239</v>
      </c>
      <c r="D3" s="110" t="s">
        <v>1280</v>
      </c>
      <c r="E3" s="16" t="s">
        <v>1281</v>
      </c>
    </row>
    <row r="4" spans="1:5" x14ac:dyDescent="0.25">
      <c r="B4" s="8">
        <f xml:space="preserve"> ROW( testDev[[#This Row],[row_id]] ) - ROW(testDev[[#Headers],[row_id]] )</f>
        <v>1</v>
      </c>
      <c r="C4" s="19" t="s">
        <v>243</v>
      </c>
      <c r="D4" s="75" t="s">
        <v>1282</v>
      </c>
      <c r="E4" s="146" t="s">
        <v>1285</v>
      </c>
    </row>
    <row r="5" spans="1:5" ht="33.75" x14ac:dyDescent="0.25">
      <c r="B5" s="8">
        <f xml:space="preserve"> ROW( testDev[[#This Row],[row_id]] ) - ROW(testDev[[#Headers],[row_id]] )</f>
        <v>2</v>
      </c>
      <c r="C5" s="19" t="s">
        <v>836</v>
      </c>
      <c r="D5" s="75" t="s">
        <v>1283</v>
      </c>
      <c r="E5" s="146" t="s">
        <v>1286</v>
      </c>
    </row>
    <row r="6" spans="1:5" ht="45" x14ac:dyDescent="0.25">
      <c r="B6" s="8">
        <f xml:space="preserve"> ROW( testDev[[#This Row],[row_id]] ) - ROW(testDev[[#Headers],[row_id]] )</f>
        <v>3</v>
      </c>
      <c r="C6" s="19" t="s">
        <v>908</v>
      </c>
      <c r="D6" s="75" t="s">
        <v>1282</v>
      </c>
      <c r="E6" s="146" t="s">
        <v>1287</v>
      </c>
    </row>
    <row r="7" spans="1:5" x14ac:dyDescent="0.25">
      <c r="B7" s="8">
        <f xml:space="preserve"> ROW( testDev[[#This Row],[row_id]] ) - ROW(testDev[[#Headers],[row_id]] )</f>
        <v>4</v>
      </c>
      <c r="C7" s="19" t="s">
        <v>828</v>
      </c>
      <c r="D7" s="75" t="s">
        <v>1284</v>
      </c>
      <c r="E7" s="146" t="s">
        <v>1288</v>
      </c>
    </row>
    <row r="8" spans="1:5" x14ac:dyDescent="0.25">
      <c r="B8" s="8">
        <f xml:space="preserve"> ROW( testDev[[#This Row],[row_id]] ) - ROW(testDev[[#Headers],[row_id]] )</f>
        <v>5</v>
      </c>
      <c r="C8" s="19" t="s">
        <v>1157</v>
      </c>
      <c r="D8" s="75" t="s">
        <v>1284</v>
      </c>
      <c r="E8" s="146" t="s">
        <v>1288</v>
      </c>
    </row>
    <row r="9" spans="1:5" x14ac:dyDescent="0.25">
      <c r="B9" s="8">
        <f xml:space="preserve"> ROW( testDev[[#This Row],[row_id]] ) - ROW(testDev[[#Headers],[row_id]] )</f>
        <v>6</v>
      </c>
      <c r="C9" s="19" t="s">
        <v>1235</v>
      </c>
      <c r="D9" s="75" t="s">
        <v>1282</v>
      </c>
      <c r="E9" s="146" t="s">
        <v>1289</v>
      </c>
    </row>
    <row r="10" spans="1:5" x14ac:dyDescent="0.25">
      <c r="B10" s="8">
        <f xml:space="preserve"> ROW( testDev[[#This Row],[row_id]] ) - ROW(testDev[[#Headers],[row_id]] )</f>
        <v>7</v>
      </c>
      <c r="C10" s="19" t="s">
        <v>837</v>
      </c>
      <c r="D10" s="75" t="s">
        <v>1282</v>
      </c>
      <c r="E10" s="146" t="s">
        <v>1290</v>
      </c>
    </row>
    <row r="11" spans="1:5" ht="22.5" x14ac:dyDescent="0.25">
      <c r="B11" s="8">
        <f xml:space="preserve"> ROW( testDev[[#This Row],[row_id]] ) - ROW(testDev[[#Headers],[row_id]] )</f>
        <v>8</v>
      </c>
      <c r="C11" s="19" t="s">
        <v>838</v>
      </c>
      <c r="D11" s="75" t="s">
        <v>1282</v>
      </c>
      <c r="E11" s="146" t="s">
        <v>1291</v>
      </c>
    </row>
    <row r="12" spans="1:5" ht="22.5" x14ac:dyDescent="0.25">
      <c r="B12" s="8">
        <f xml:space="preserve"> ROW( testDev[[#This Row],[row_id]] ) - ROW(testDev[[#Headers],[row_id]] )</f>
        <v>9</v>
      </c>
      <c r="C12" s="19" t="s">
        <v>839</v>
      </c>
      <c r="D12" s="75" t="s">
        <v>1283</v>
      </c>
      <c r="E12" s="146" t="s">
        <v>1292</v>
      </c>
    </row>
    <row r="13" spans="1:5" x14ac:dyDescent="0.25">
      <c r="B13" s="8">
        <f xml:space="preserve"> ROW( testDev[[#This Row],[row_id]] ) - ROW(testDev[[#Headers],[row_id]] )</f>
        <v>10</v>
      </c>
      <c r="C13" s="19" t="s">
        <v>242</v>
      </c>
      <c r="D13" s="75" t="s">
        <v>1284</v>
      </c>
      <c r="E13" s="146" t="s">
        <v>1288</v>
      </c>
    </row>
    <row r="14" spans="1:5" x14ac:dyDescent="0.25">
      <c r="B14" s="8">
        <f xml:space="preserve"> ROW( testDev[[#This Row],[row_id]] ) - ROW(testDev[[#Headers],[row_id]] )</f>
        <v>11</v>
      </c>
      <c r="C14" s="19" t="s">
        <v>969</v>
      </c>
      <c r="D14" s="75" t="s">
        <v>1283</v>
      </c>
      <c r="E14" s="146" t="s">
        <v>1293</v>
      </c>
    </row>
    <row r="15" spans="1:5" ht="22.5" x14ac:dyDescent="0.25">
      <c r="B15" s="8">
        <f xml:space="preserve"> ROW( testDev[[#This Row],[row_id]] ) - ROW(testDev[[#Headers],[row_id]] )</f>
        <v>12</v>
      </c>
      <c r="C15" s="19" t="s">
        <v>918</v>
      </c>
      <c r="D15" s="75" t="s">
        <v>1284</v>
      </c>
      <c r="E15" s="146" t="s">
        <v>1294</v>
      </c>
    </row>
    <row r="16" spans="1:5" x14ac:dyDescent="0.25">
      <c r="B16" s="8">
        <f xml:space="preserve"> ROW( testDev[[#This Row],[row_id]] ) - ROW(testDev[[#Headers],[row_id]] )</f>
        <v>13</v>
      </c>
      <c r="C16" s="19" t="s">
        <v>970</v>
      </c>
      <c r="D16" s="75" t="s">
        <v>1284</v>
      </c>
      <c r="E16" s="146" t="s">
        <v>1295</v>
      </c>
    </row>
    <row r="17" spans="2:5" x14ac:dyDescent="0.25">
      <c r="B17" s="8">
        <f xml:space="preserve"> ROW( testDev[[#This Row],[row_id]] ) - ROW(testDev[[#Headers],[row_id]] )</f>
        <v>14</v>
      </c>
      <c r="C17" s="19" t="s">
        <v>1066</v>
      </c>
      <c r="D17" s="75" t="s">
        <v>1284</v>
      </c>
      <c r="E17" s="146" t="s">
        <v>1288</v>
      </c>
    </row>
    <row r="18" spans="2:5" x14ac:dyDescent="0.25">
      <c r="B18" s="8">
        <f xml:space="preserve"> ROW( testDev[[#This Row],[row_id]] ) - ROW(testDev[[#Headers],[row_id]] )</f>
        <v>15</v>
      </c>
      <c r="C18" s="19" t="s">
        <v>1065</v>
      </c>
      <c r="D18" s="75" t="s">
        <v>1284</v>
      </c>
      <c r="E18" s="146" t="s">
        <v>1296</v>
      </c>
    </row>
    <row r="19" spans="2:5" ht="45" x14ac:dyDescent="0.25">
      <c r="B19" s="8">
        <f xml:space="preserve"> ROW( testDev[[#This Row],[row_id]] ) - ROW(testDev[[#Headers],[row_id]] )</f>
        <v>16</v>
      </c>
      <c r="C19" s="19" t="s">
        <v>1158</v>
      </c>
      <c r="D19" s="75" t="s">
        <v>1283</v>
      </c>
      <c r="E19" s="146" t="s">
        <v>1297</v>
      </c>
    </row>
    <row r="20" spans="2:5" x14ac:dyDescent="0.25">
      <c r="B20" s="8">
        <f xml:space="preserve"> ROW( testDev[[#This Row],[row_id]] ) - ROW(testDev[[#Headers],[row_id]] )</f>
        <v>17</v>
      </c>
      <c r="C20" s="19" t="s">
        <v>1270</v>
      </c>
      <c r="D20" s="75" t="s">
        <v>1282</v>
      </c>
      <c r="E20" s="146" t="s">
        <v>1298</v>
      </c>
    </row>
    <row r="21" spans="2:5" ht="22.5" x14ac:dyDescent="0.25">
      <c r="B21" s="8">
        <f xml:space="preserve"> ROW( testDev[[#This Row],[row_id]] ) - ROW(testDev[[#Headers],[row_id]] )</f>
        <v>18</v>
      </c>
      <c r="C21" s="19" t="s">
        <v>1272</v>
      </c>
      <c r="D21" s="75" t="s">
        <v>1284</v>
      </c>
      <c r="E21" s="146" t="s">
        <v>1299</v>
      </c>
    </row>
    <row r="22" spans="2:5" x14ac:dyDescent="0.25">
      <c r="B22" s="8">
        <f xml:space="preserve"> ROW( testDev[[#This Row],[row_id]] ) - ROW(testDev[[#Headers],[row_id]] )</f>
        <v>19</v>
      </c>
      <c r="C22" s="19" t="s">
        <v>1271</v>
      </c>
      <c r="D22" s="75" t="s">
        <v>1282</v>
      </c>
      <c r="E22" s="146" t="s">
        <v>1300</v>
      </c>
    </row>
    <row r="23" spans="2:5" x14ac:dyDescent="0.25">
      <c r="B23" s="8">
        <f xml:space="preserve"> ROW( testDev[[#This Row],[row_id]] ) - ROW(testDev[[#Headers],[row_id]] )</f>
        <v>20</v>
      </c>
      <c r="C23" s="19" t="s">
        <v>1274</v>
      </c>
      <c r="D23" s="75" t="s">
        <v>1284</v>
      </c>
      <c r="E23" s="146" t="s">
        <v>1288</v>
      </c>
    </row>
    <row r="24" spans="2:5" x14ac:dyDescent="0.25">
      <c r="B24" s="8">
        <f xml:space="preserve"> ROW( testDev[[#This Row],[row_id]] ) - ROW(testDev[[#Headers],[row_id]] )</f>
        <v>21</v>
      </c>
      <c r="C24" s="19" t="s">
        <v>1275</v>
      </c>
      <c r="D24" s="75" t="s">
        <v>1284</v>
      </c>
      <c r="E24" s="146" t="s">
        <v>1288</v>
      </c>
    </row>
    <row r="25" spans="2:5" x14ac:dyDescent="0.25">
      <c r="B25" s="8">
        <f xml:space="preserve"> ROW( testDev[[#This Row],[row_id]] ) - ROW(testDev[[#Headers],[row_id]] )</f>
        <v>22</v>
      </c>
      <c r="C25" s="19" t="s">
        <v>1276</v>
      </c>
      <c r="D25" s="75" t="s">
        <v>1284</v>
      </c>
      <c r="E25" s="146" t="s">
        <v>1288</v>
      </c>
    </row>
    <row r="26" spans="2:5" x14ac:dyDescent="0.25">
      <c r="B26" s="8">
        <f xml:space="preserve"> ROW( testDev[[#This Row],[row_id]] ) - ROW(testDev[[#Headers],[row_id]] )</f>
        <v>23</v>
      </c>
      <c r="C26" s="19" t="s">
        <v>1277</v>
      </c>
      <c r="D26" s="75" t="s">
        <v>1284</v>
      </c>
      <c r="E26" s="146" t="s">
        <v>1288</v>
      </c>
    </row>
    <row r="27" spans="2:5" ht="45" x14ac:dyDescent="0.25">
      <c r="B27" s="8">
        <f xml:space="preserve"> ROW( testDev[[#This Row],[row_id]] ) - ROW(testDev[[#Headers],[row_id]] )</f>
        <v>24</v>
      </c>
      <c r="C27" s="19" t="s">
        <v>1278</v>
      </c>
      <c r="D27" s="75" t="s">
        <v>1283</v>
      </c>
      <c r="E27" s="146" t="s">
        <v>1301</v>
      </c>
    </row>
    <row r="28" spans="2:5" ht="22.5" x14ac:dyDescent="0.25">
      <c r="B28" s="8">
        <f xml:space="preserve"> ROW( testDev[[#This Row],[row_id]] ) - ROW(testDev[[#Headers],[row_id]] )</f>
        <v>25</v>
      </c>
      <c r="C28" s="19" t="s">
        <v>1279</v>
      </c>
      <c r="D28" s="75" t="s">
        <v>1282</v>
      </c>
      <c r="E28" s="146" t="s">
        <v>1302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0"/>
  <sheetViews>
    <sheetView topLeftCell="A116" zoomScale="90" zoomScaleNormal="90" workbookViewId="0">
      <pane xSplit="3" topLeftCell="D1" activePane="topRight" state="frozen"/>
      <selection pane="topRight" activeCell="F155" sqref="F15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1244</v>
      </c>
      <c r="I18" s="67" t="s">
        <v>831</v>
      </c>
      <c r="J18" s="67" t="s">
        <v>832</v>
      </c>
      <c r="K18" s="67" t="s">
        <v>1245</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1247</v>
      </c>
      <c r="D21" s="151" t="s">
        <v>1262</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ht="22.5" x14ac:dyDescent="0.2">
      <c r="B38" s="163">
        <f xml:space="preserve"> ROW( co_sectors[[#This Row],[row_id]] ) - ROW( co_sectors[[#Headers],[row_id]] )</f>
        <v>20</v>
      </c>
      <c r="C38" s="165" t="s">
        <v>1303</v>
      </c>
      <c r="D38" s="71" t="s">
        <v>1303</v>
      </c>
      <c r="E38" s="35">
        <v>1</v>
      </c>
      <c r="F38" s="38" t="s">
        <v>819</v>
      </c>
      <c r="G38" s="69"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8" s="90" cm="1">
        <f t="array" ref="K38" xml:space="preserve"> SUMPRODUCT( --( co_sectors[[#This Row],[sector_id]] = co_variants[sector_id] ) )</f>
        <v>1</v>
      </c>
      <c r="L38" s="90" cm="1">
        <f t="array" ref="L38" xml:space="preserve"> SUMPRODUCT( --( co_sectors[[#This Row],[sector_id]] = co_impactTypes[sector_id] ) )</f>
        <v>3</v>
      </c>
      <c r="M38" s="90" cm="1">
        <f t="array" ref="M38" xml:space="preserve"> IF( INDEX( co_impactYears[N/A], MATCH( 1, --( co_sectors[[#This Row],[sector_id]] = co_impactYears[sector_id] ), 0 ) ) = "N/A", 1, 2 )</f>
        <v>1</v>
      </c>
      <c r="N38" s="90" cm="1">
        <f t="array" ref="N38" xml:space="preserve"> INDEX( co_modelTypes[Number of models], MATCH( 1, --( co_sectors[[#This Row],[modelType]] = co_modelTypes[modelType_id] ), 0 ) ) + IF( co_sectors[[#This Row],[modelType]] = "gcm", 1, 0 )</f>
        <v>9</v>
      </c>
      <c r="O38" s="90" cm="1">
        <f t="array" ref="O38" xml:space="preserve"> INDEX( co_modelTypes[Number of levels], MATCH( 1, --( co_sectors[[#This Row],[modelType]] = co_modelTypes[modelType_id] ), 0 ) )</f>
        <v>7</v>
      </c>
      <c r="P38" s="90">
        <f xml:space="preserve"> PRODUCT( co_sectors[[#This Row],[Number of variants]:[Number of levels]] )</f>
        <v>189</v>
      </c>
    </row>
    <row r="39" spans="1:21" x14ac:dyDescent="0.2">
      <c r="B39" s="159">
        <f xml:space="preserve"> ROW( co_sectors[[#This Row],[row_id]] ) - ROW( co_sectors[[#Headers],[row_id]] )</f>
        <v>21</v>
      </c>
      <c r="C39" s="160" t="s">
        <v>227</v>
      </c>
      <c r="D39" s="72" t="s">
        <v>228</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145" cm="1">
        <f t="array" ref="K39" xml:space="preserve"> SUMPRODUCT( --( co_sectors[[#This Row],[sector_id]] = co_variants[sector_id] ) )</f>
        <v>1</v>
      </c>
      <c r="L39" s="145" cm="1">
        <f t="array" ref="L39" xml:space="preserve"> SUMPRODUCT( --( co_sectors[[#This Row],[sector_id]] = co_impactTypes[sector_id] ) )</f>
        <v>1</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63</v>
      </c>
    </row>
    <row r="40" spans="1:21" ht="22.5" x14ac:dyDescent="0.2">
      <c r="B40" s="159">
        <f xml:space="preserve"> ROW( co_sectors[[#This Row],[row_id]] ) - ROW( co_sectors[[#Headers],[row_id]] )</f>
        <v>22</v>
      </c>
      <c r="C40" s="160" t="s">
        <v>761</v>
      </c>
      <c r="D40" s="72" t="s">
        <v>761</v>
      </c>
      <c r="E40" s="35">
        <v>1</v>
      </c>
      <c r="F40" s="37" t="s">
        <v>819</v>
      </c>
      <c r="G40" s="68"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0" s="145" cm="1">
        <f t="array" ref="K40" xml:space="preserve"> SUMPRODUCT( --( co_sectors[[#This Row],[sector_id]] = co_variants[sector_id] ) )</f>
        <v>1</v>
      </c>
      <c r="L40" s="145" cm="1">
        <f t="array" ref="L40" xml:space="preserve"> SUMPRODUCT( --( co_sectors[[#This Row],[sector_id]] = co_impactTypes[sector_id] ) )</f>
        <v>3</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189</v>
      </c>
    </row>
    <row r="41" spans="1:21" x14ac:dyDescent="0.2">
      <c r="B41" s="159">
        <f xml:space="preserve"> ROW( co_sectors[[#This Row],[row_id]] ) - ROW( co_sectors[[#Headers],[row_id]] )</f>
        <v>23</v>
      </c>
      <c r="C41" s="165" t="s">
        <v>1088</v>
      </c>
      <c r="D41" s="71" t="s">
        <v>1098</v>
      </c>
      <c r="E41" s="35">
        <v>1</v>
      </c>
      <c r="F41" s="129" t="s">
        <v>819</v>
      </c>
      <c r="G41" s="69" cm="1">
        <f t="array" ref="G41" xml:space="preserve"> IF( AND( SUMPRODUCT( co_impactYears[2010], --( co_sectors[[#This Row],[sector_id]] = co_impactYears[sector_id] ) ) &gt; 1,  SUMPRODUCT( co_impactYears[2090], --( co_sectors[[#This Row],[sector_id]] = co_impactYears[sector_id] ) ) &gt; 1 ), 1, 0 )</f>
        <v>0</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N/A</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N/A</v>
      </c>
      <c r="K41" s="145" cm="1">
        <f t="array" ref="K41" xml:space="preserve"> SUMPRODUCT( --( co_sectors[[#This Row],[sector_id]] = co_variants[sector_id] ) )</f>
        <v>1</v>
      </c>
      <c r="L41" s="145" cm="1">
        <f t="array" ref="L41" xml:space="preserve"> SUMPRODUCT( --( co_sectors[[#This Row],[sector_id]] = co_impactTypes[sector_id] ) )</f>
        <v>1</v>
      </c>
      <c r="M41" s="145" cm="1">
        <f t="array" ref="M41" xml:space="preserve"> IF( INDEX( co_impactYears[N/A], MATCH( 1, --( co_sectors[[#This Row],[sector_id]] = co_impactYears[sector_id] ), 0 ) ) = "N/A", 1, 2 )</f>
        <v>1</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63</v>
      </c>
    </row>
    <row r="42" spans="1:21" ht="33.75" x14ac:dyDescent="0.2">
      <c r="B42" s="159">
        <f xml:space="preserve"> ROW( co_sectors[[#This Row],[row_id]] ) - ROW( co_sectors[[#Headers],[row_id]] )</f>
        <v>24</v>
      </c>
      <c r="C42" s="165" t="s">
        <v>89</v>
      </c>
      <c r="D42" s="71" t="s">
        <v>196</v>
      </c>
      <c r="E42" s="35">
        <v>1</v>
      </c>
      <c r="F42" s="37" t="s">
        <v>819</v>
      </c>
      <c r="G42" s="68" cm="1">
        <f t="array" ref="G42" xml:space="preserve"> IF( AND( SUMPRODUCT( co_impactYears[2010], --( co_sectors[[#This Row],[sector_id]] = co_impactYears[sector_id] ) ) &gt; 1,  SUMPRODUCT( co_impactYears[2090], --( co_sectors[[#This Row],[sector_id]] = co_impactYears[sector_id] ) ) &gt; 1 ), 1, 0 )</f>
        <v>1</v>
      </c>
      <c r="H42" s="89"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89" t="str">
        <f ca="1" xml:space="preserve"> _xlfn.TEXTJOIN( ", ", 1,
  OFFSET( INDIRECT( ADDRESS( ROW( INDEX( co_impactYears[sector_id], MATCH( co_sectors[[#This Row],[sector_id]], co_impactYears[sector_id], 0 ) ) ),  COLUMN( co_impactYears[[#Headers],[sector_id]] ), , , "controlTables" ) ), 0, 1, 1, 4 )
)</f>
        <v>2010, 2090</v>
      </c>
      <c r="J42" s="89"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2" s="145" cm="1">
        <f t="array" ref="K42" xml:space="preserve"> SUMPRODUCT( --( co_sectors[[#This Row],[sector_id]] = co_variants[sector_id] ) )</f>
        <v>1</v>
      </c>
      <c r="L42" s="145" cm="1">
        <f t="array" ref="L42" xml:space="preserve"> SUMPRODUCT( --( co_sectors[[#This Row],[sector_id]] = co_impactTypes[sector_id] ) )</f>
        <v>3</v>
      </c>
      <c r="M42" s="145" cm="1">
        <f t="array" ref="M42" xml:space="preserve"> IF( INDEX( co_impactYears[N/A], MATCH( 1, --( co_sectors[[#This Row],[sector_id]] = co_impactYears[sector_id] ), 0 ) ) = "N/A", 1, 2 )</f>
        <v>2</v>
      </c>
      <c r="N42" s="145" cm="1">
        <f t="array" ref="N42" xml:space="preserve"> INDEX( co_modelTypes[Number of models], MATCH( 1, --( co_sectors[[#This Row],[modelType]] = co_modelTypes[modelType_id] ), 0 ) ) + IF( co_sectors[[#This Row],[modelType]] = "gcm", 1, 0 )</f>
        <v>9</v>
      </c>
      <c r="O42" s="145" cm="1">
        <f t="array" ref="O42" xml:space="preserve"> INDEX( co_modelTypes[Number of levels], MATCH( 1, --( co_sectors[[#This Row],[modelType]] = co_modelTypes[modelType_id] ), 0 ) )</f>
        <v>7</v>
      </c>
      <c r="P42" s="145">
        <f xml:space="preserve"> PRODUCT( co_sectors[[#This Row],[Number of variants]:[Number of levels]] )</f>
        <v>378</v>
      </c>
    </row>
    <row r="44" spans="1:21" ht="15" x14ac:dyDescent="0.25">
      <c r="A44" s="63"/>
      <c r="B44" s="64" t="s">
        <v>1028</v>
      </c>
      <c r="C44" s="64"/>
      <c r="D44" s="64"/>
      <c r="E44" s="64"/>
      <c r="F44" s="64"/>
      <c r="G44" s="64"/>
      <c r="H44" s="64"/>
      <c r="I44" s="64"/>
      <c r="J44" s="64"/>
      <c r="K44" s="64"/>
      <c r="L44" s="64"/>
      <c r="M44" s="64"/>
      <c r="N44" s="64"/>
      <c r="O44" s="64"/>
      <c r="P44" s="64"/>
      <c r="Q44" s="64"/>
      <c r="R44" s="64"/>
      <c r="S44" s="64"/>
      <c r="T44" s="64"/>
      <c r="U44" s="64"/>
    </row>
    <row r="46" spans="1:21" x14ac:dyDescent="0.2">
      <c r="B46" s="78" t="s">
        <v>780</v>
      </c>
      <c r="C46" s="78" t="s">
        <v>219</v>
      </c>
      <c r="D46" s="80" t="s">
        <v>201</v>
      </c>
      <c r="E46" s="110" t="s">
        <v>902</v>
      </c>
      <c r="F46" s="80" t="s">
        <v>903</v>
      </c>
    </row>
    <row r="47" spans="1:21" x14ac:dyDescent="0.2">
      <c r="B47" s="8">
        <f xml:space="preserve"> ROW( co_impactYears[[#This Row],[row_id]] ) - ROW(co_impactYears[[#Headers],[row_id]] )</f>
        <v>1</v>
      </c>
      <c r="C47" s="19" t="s">
        <v>559</v>
      </c>
      <c r="D47" s="80" t="str" cm="1">
        <f t="array" ref="D47" xml:space="preserve"> IF( SUMPRODUCT( --( VALUE( controlTables!E$46 ) = data_scaledImpacts[impactYear] ), --( co_impactYears[[#This Row],[sector_id]] = data_scaledImpacts[sector] ) ) &gt; 0, "", controlTables!D$46  )</f>
        <v>N/A</v>
      </c>
      <c r="E47" s="110" t="str" cm="1">
        <f t="array" ref="E47" xml:space="preserve"> IF( SUMPRODUCT( --( VALUE( controlTables!E$46 ) = data_scaledImpacts[impactYear] ), --( co_impactYears[[#This Row],[sector_id]] = data_scaledImpacts[sector] ) ) &gt; 0, VALUE( controlTables!E$46 ), "" )</f>
        <v/>
      </c>
      <c r="F47" s="109" t="str" cm="1">
        <f t="array" ref="F47" xml:space="preserve"> IF( SUMPRODUCT( --( VALUE( controlTables!F$46 ) = data_scaledImpacts[impactYear] ), --( co_impactYears[[#This Row],[sector_id]] = data_scaledImpacts[sector] ) ) &gt; 0, VALUE( controlTables!F$46 ), "" )</f>
        <v/>
      </c>
    </row>
    <row r="48" spans="1:21" x14ac:dyDescent="0.2">
      <c r="B48" s="9">
        <f xml:space="preserve"> ROW( co_impactYears[[#This Row],[row_id]] ) - ROW(co_impactYears[[#Headers],[row_id]] )</f>
        <v>2</v>
      </c>
      <c r="C48" s="19" t="s">
        <v>1005</v>
      </c>
      <c r="D48" s="109" t="str" cm="1">
        <f t="array" ref="D48" xml:space="preserve"> IF( SUMPRODUCT( --( VALUE( controlTables!E$46 ) = data_scaledImpacts[impactYear] ), --( co_impactYears[[#This Row],[sector_id]] = data_scaledImpacts[sector] ) ) &gt; 0, "", controlTables!D$46  )</f>
        <v>N/A</v>
      </c>
      <c r="E48" s="111" t="str" cm="1">
        <f t="array" ref="E48" xml:space="preserve"> IF( SUMPRODUCT( --( VALUE( controlTables!E$46 ) = data_scaledImpacts[impactYear] ), --( co_impactYears[[#This Row],[sector_id]] = data_scaledImpacts[sector] ) ) &gt; 0, VALUE( controlTables!E$46 ), "" )</f>
        <v/>
      </c>
      <c r="F48" s="109" t="str" cm="1">
        <f t="array" ref="F48" xml:space="preserve"> IF( SUMPRODUCT( --( VALUE( controlTables!F$46 ) = data_scaledImpacts[impactYear] ), --( co_impactYears[[#This Row],[sector_id]] = data_scaledImpacts[sector] ) ) &gt; 0, VALUE( controlTables!F$46 ), "" )</f>
        <v/>
      </c>
    </row>
    <row r="49" spans="2:6" x14ac:dyDescent="0.2">
      <c r="B49" s="9">
        <f xml:space="preserve"> ROW( co_impactYears[[#This Row],[row_id]] ) - ROW(co_impactYears[[#Headers],[row_id]] )</f>
        <v>3</v>
      </c>
      <c r="C49" s="19" t="s">
        <v>1247</v>
      </c>
      <c r="D49" s="109" t="str" cm="1">
        <f t="array" ref="D49" xml:space="preserve"> IF( SUMPRODUCT( --( VALUE( controlTables!E$46 ) = data_scaledImpacts[impactYear] ), --( co_impactYears[[#This Row],[sector_id]] = data_scaledImpacts[sector] ) ) &gt; 0, "", controlTables!D$46  )</f>
        <v>N/A</v>
      </c>
      <c r="E49" s="111" t="str" cm="1">
        <f t="array" ref="E49" xml:space="preserve"> IF( SUMPRODUCT( --( VALUE( controlTables!E$46 ) = data_scaledImpacts[impactYear] ), --( co_impactYears[[#This Row],[sector_id]] = data_scaledImpacts[sector] ) ) &gt; 0, VALUE( controlTables!E$46 ), "" )</f>
        <v/>
      </c>
      <c r="F49" s="109" t="str" cm="1">
        <f t="array" ref="F49" xml:space="preserve"> IF( SUMPRODUCT( --( VALUE( controlTables!F$46 ) = data_scaledImpacts[impactYear] ), --( co_impactYears[[#This Row],[sector_id]] = data_scaledImpacts[sector] ) ) &gt; 0, VALUE( controlTables!F$46 ), "" )</f>
        <v/>
      </c>
    </row>
    <row r="50" spans="2:6" x14ac:dyDescent="0.2">
      <c r="B50" s="9">
        <f xml:space="preserve"> ROW( co_impactYears[[#This Row],[row_id]] ) - ROW(co_impactYears[[#Headers],[row_id]] )</f>
        <v>4</v>
      </c>
      <c r="C50" s="19" t="s">
        <v>1229</v>
      </c>
      <c r="D50" s="109" t="str" cm="1">
        <f t="array" ref="D50" xml:space="preserve"> IF( SUMPRODUCT( --( VALUE( controlTables!E$46 ) = data_scaledImpacts[impactYear] ), --( co_impactYears[[#This Row],[sector_id]] = data_scaledImpacts[sector] ) ) &gt; 0, "", controlTables!D$46  )</f>
        <v>N/A</v>
      </c>
      <c r="E50" s="111" t="str" cm="1">
        <f t="array" ref="E50" xml:space="preserve"> IF( SUMPRODUCT( --( VALUE( controlTables!E$46 ) = data_scaledImpacts[impactYear] ), --( co_impactYears[[#This Row],[sector_id]] = data_scaledImpacts[sector] ) ) &gt; 0, VALUE( controlTables!E$46 ), "" )</f>
        <v/>
      </c>
      <c r="F50" s="109" t="str" cm="1">
        <f t="array" ref="F50" xml:space="preserve"> IF( SUMPRODUCT( --( VALUE( controlTables!F$46 ) = data_scaledImpacts[impactYear] ), --( co_impactYears[[#This Row],[sector_id]] = data_scaledImpacts[sector] ) ) &gt; 0, VALUE( controlTables!F$46 ), "" )</f>
        <v/>
      </c>
    </row>
    <row r="51" spans="2:6" x14ac:dyDescent="0.2">
      <c r="B51" s="9">
        <f xml:space="preserve"> ROW( co_impactYears[[#This Row],[row_id]] ) - ROW(co_impactYears[[#Headers],[row_id]] )</f>
        <v>5</v>
      </c>
      <c r="C51" s="19" t="s">
        <v>1230</v>
      </c>
      <c r="D51" s="109" t="str" cm="1">
        <f t="array" ref="D51" xml:space="preserve"> IF( SUMPRODUCT( --( VALUE( controlTables!E$46 ) = data_scaledImpacts[impactYear] ), --( co_impactYears[[#This Row],[sector_id]] = data_scaledImpacts[sector] ) ) &gt; 0, "", controlTables!D$46  )</f>
        <v>N/A</v>
      </c>
      <c r="E51" s="111" t="str" cm="1">
        <f t="array" ref="E51" xml:space="preserve"> IF( SUMPRODUCT( --( VALUE( controlTables!E$46 ) = data_scaledImpacts[impactYear] ), --( co_impactYears[[#This Row],[sector_id]] = data_scaledImpacts[sector] ) ) &gt; 0, VALUE( controlTables!E$46 ), "" )</f>
        <v/>
      </c>
      <c r="F51" s="109" t="str" cm="1">
        <f t="array" ref="F51" xml:space="preserve"> IF( SUMPRODUCT( --( VALUE( controlTables!F$46 ) = data_scaledImpacts[impactYear] ), --( co_impactYears[[#This Row],[sector_id]] = data_scaledImpacts[sector] ) ) &gt; 0, VALUE( controlTables!F$46 ), "" )</f>
        <v/>
      </c>
    </row>
    <row r="52" spans="2:6" x14ac:dyDescent="0.2">
      <c r="B52" s="9">
        <f xml:space="preserve"> ROW( co_impactYears[[#This Row],[row_id]] ) - ROW(co_impactYears[[#Headers],[row_id]] )</f>
        <v>6</v>
      </c>
      <c r="C52" s="19" t="s">
        <v>1159</v>
      </c>
      <c r="D52" s="109" t="str" cm="1">
        <f t="array" ref="D52" xml:space="preserve"> IF( SUMPRODUCT( --( VALUE( controlTables!E$46 ) = data_scaledImpacts[impactYear] ), --( co_impactYears[[#This Row],[sector_id]] = data_scaledImpacts[sector] ) ) &gt; 0, "", controlTables!D$46  )</f>
        <v>N/A</v>
      </c>
      <c r="E52" s="111" t="str" cm="1">
        <f t="array" ref="E52" xml:space="preserve"> IF( SUMPRODUCT( --( VALUE( controlTables!E$46 ) = data_scaledImpacts[impactYear] ), --( co_impactYears[[#This Row],[sector_id]] = data_scaledImpacts[sector] ) ) &gt; 0, VALUE( controlTables!E$46 ), "" )</f>
        <v/>
      </c>
      <c r="F52" s="109" t="str" cm="1">
        <f t="array" ref="F52" xml:space="preserve"> IF( SUMPRODUCT( --( VALUE( controlTables!F$46 ) = data_scaledImpacts[impactYear] ), --( co_impactYears[[#This Row],[sector_id]] = data_scaledImpacts[sector] ) ) &gt; 0, VALUE( controlTables!F$46 ), "" )</f>
        <v/>
      </c>
    </row>
    <row r="53" spans="2:6" x14ac:dyDescent="0.2">
      <c r="B53" s="8">
        <f xml:space="preserve"> ROW( co_impactYears[[#This Row],[row_id]] ) - ROW(co_impactYears[[#Headers],[row_id]] )</f>
        <v>7</v>
      </c>
      <c r="C53" s="19" t="s">
        <v>86</v>
      </c>
      <c r="D53" s="80" t="str" cm="1">
        <f t="array" ref="D53" xml:space="preserve"> IF( SUMPRODUCT( --( VALUE( controlTables!E$46 ) = data_scaledImpacts[impactYear] ), --( co_impactYears[[#This Row],[sector_id]] = data_scaledImpacts[sector] ) ) &gt; 0, "", controlTables!D$46  )</f>
        <v>N/A</v>
      </c>
      <c r="E53" s="110" t="str" cm="1">
        <f t="array" ref="E53" xml:space="preserve"> IF( SUMPRODUCT( --( VALUE( controlTables!E$46 ) = data_scaledImpacts[impactYear] ), --( co_impactYears[[#This Row],[sector_id]] = data_scaledImpacts[sector] ) ) &gt; 0, VALUE( controlTables!E$46 ), "" )</f>
        <v/>
      </c>
      <c r="F53" s="109" t="str" cm="1">
        <f t="array" ref="F53" xml:space="preserve"> IF( SUMPRODUCT( --( VALUE( controlTables!F$46 ) = data_scaledImpacts[impactYear] ), --( co_impactYears[[#This Row],[sector_id]] = data_scaledImpacts[sector] ) ) &gt; 0, VALUE( controlTables!F$46 ), "" )</f>
        <v/>
      </c>
    </row>
    <row r="54" spans="2:6" x14ac:dyDescent="0.2">
      <c r="B54" s="8">
        <f xml:space="preserve"> ROW( co_impactYears[[#This Row],[row_id]] ) - ROW(co_impactYears[[#Headers],[row_id]] )</f>
        <v>8</v>
      </c>
      <c r="C54" s="19" t="s">
        <v>220</v>
      </c>
      <c r="D54" s="80" t="str" cm="1">
        <f t="array" ref="D54" xml:space="preserve"> IF( SUMPRODUCT( --( VALUE( controlTables!E$46 ) = data_scaledImpacts[impactYear] ), --( co_impactYears[[#This Row],[sector_id]] = data_scaledImpacts[sector] ) ) &gt; 0, "", controlTables!D$46  )</f>
        <v>N/A</v>
      </c>
      <c r="E54" s="110" t="str" cm="1">
        <f t="array" ref="E54" xml:space="preserve"> IF( SUMPRODUCT( --( VALUE( controlTables!E$46 ) = data_scaledImpacts[impactYear] ), --( co_impactYears[[#This Row],[sector_id]] = data_scaledImpacts[sector] ) ) &gt; 0, VALUE( controlTables!E$46 ), "" )</f>
        <v/>
      </c>
      <c r="F54" s="109" t="str" cm="1">
        <f t="array" ref="F54" xml:space="preserve"> IF( SUMPRODUCT( --( VALUE( controlTables!F$46 ) = data_scaledImpacts[impactYear] ), --( co_impactYears[[#This Row],[sector_id]] = data_scaledImpacts[sector] ) ) &gt; 0, VALUE( controlTables!F$46 ), "" )</f>
        <v/>
      </c>
    </row>
    <row r="55" spans="2:6" x14ac:dyDescent="0.2">
      <c r="B55" s="9">
        <f xml:space="preserve"> ROW( co_impactYears[[#This Row],[row_id]] ) - ROW(co_impactYears[[#Headers],[row_id]] )</f>
        <v>9</v>
      </c>
      <c r="C55" s="19" t="s">
        <v>1002</v>
      </c>
      <c r="D55" s="109" t="str" cm="1">
        <f t="array" ref="D55" xml:space="preserve"> IF( SUMPRODUCT( --( VALUE( controlTables!E$46 ) = data_scaledImpacts[impactYear] ), --( co_impactYears[[#This Row],[sector_id]] = data_scaledImpacts[sector] ) ) &gt; 0, "", controlTables!D$46  )</f>
        <v>N/A</v>
      </c>
      <c r="E55" s="111" t="str" cm="1">
        <f t="array" ref="E55" xml:space="preserve"> IF( SUMPRODUCT( --( VALUE( controlTables!E$46 ) = data_scaledImpacts[impactYear] ), --( co_impactYears[[#This Row],[sector_id]] = data_scaledImpacts[sector] ) ) &gt; 0, VALUE( controlTables!E$46 ), "" )</f>
        <v/>
      </c>
      <c r="F55" s="109" t="str" cm="1">
        <f t="array" ref="F55" xml:space="preserve"> IF( SUMPRODUCT( --( VALUE( controlTables!F$46 ) = data_scaledImpacts[impactYear] ), --( co_impactYears[[#This Row],[sector_id]] = data_scaledImpacts[sector] ) ) &gt; 0, VALUE( controlTables!F$46 ), "" )</f>
        <v/>
      </c>
    </row>
    <row r="56" spans="2:6" x14ac:dyDescent="0.2">
      <c r="B56" s="8">
        <f xml:space="preserve"> ROW( co_impactYears[[#This Row],[row_id]] ) - ROW(co_impactYears[[#Headers],[row_id]] )</f>
        <v>10</v>
      </c>
      <c r="C56" s="19" t="s">
        <v>17</v>
      </c>
      <c r="D56" s="80" t="str" cm="1">
        <f t="array" ref="D56" xml:space="preserve"> IF( SUMPRODUCT( --( VALUE( controlTables!E$46 ) = data_scaledImpacts[impactYear] ), --( co_impactYears[[#This Row],[sector_id]] = data_scaledImpacts[sector] ) ) &gt; 0, "", controlTables!D$46  )</f>
        <v/>
      </c>
      <c r="E56" s="110" cm="1">
        <f t="array" ref="E56" xml:space="preserve"> IF( SUMPRODUCT( --( VALUE( controlTables!E$46 ) = data_scaledImpacts[impactYear] ), --( co_impactYears[[#This Row],[sector_id]] = data_scaledImpacts[sector] ) ) &gt; 0, VALUE( controlTables!E$46 ), "" )</f>
        <v>2010</v>
      </c>
      <c r="F56" s="109" cm="1">
        <f t="array" ref="F56" xml:space="preserve"> IF( SUMPRODUCT( --( VALUE( controlTables!F$46 ) = data_scaledImpacts[impactYear] ), --( co_impactYears[[#This Row],[sector_id]] = data_scaledImpacts[sector] ) ) &gt; 0, VALUE( controlTables!F$46 ), "" )</f>
        <v>2090</v>
      </c>
    </row>
    <row r="57" spans="2:6" x14ac:dyDescent="0.2">
      <c r="B57" s="9">
        <f xml:space="preserve"> ROW( co_impactYears[[#This Row],[row_id]] ) - ROW(co_impactYears[[#Headers],[row_id]] )</f>
        <v>11</v>
      </c>
      <c r="C57" s="19" t="s">
        <v>221</v>
      </c>
      <c r="D57" s="109" t="str" cm="1">
        <f t="array" ref="D57" xml:space="preserve"> IF( SUMPRODUCT( --( VALUE( controlTables!E$46 ) = data_scaledImpacts[impactYear] ), --( co_impactYears[[#This Row],[sector_id]] = data_scaledImpacts[sector] ) ) &gt; 0, "", controlTables!D$46  )</f>
        <v>N/A</v>
      </c>
      <c r="E57" s="111" t="str" cm="1">
        <f t="array" ref="E57" xml:space="preserve"> IF( SUMPRODUCT( --( VALUE( controlTables!E$46 ) = data_scaledImpacts[impactYear] ), --( co_impactYears[[#This Row],[sector_id]] = data_scaledImpacts[sector] ) ) &gt; 0, VALUE( controlTables!E$46 ), "" )</f>
        <v/>
      </c>
      <c r="F57" s="109" t="str" cm="1">
        <f t="array" ref="F57" xml:space="preserve"> IF( SUMPRODUCT( --( VALUE( controlTables!F$46 ) = data_scaledImpacts[impactYear] ), --( co_impactYears[[#This Row],[sector_id]] = data_scaledImpacts[sector] ) ) &gt; 0, VALUE( controlTables!F$46 ), "" )</f>
        <v/>
      </c>
    </row>
    <row r="58" spans="2:6" x14ac:dyDescent="0.2">
      <c r="B58" s="9">
        <f xml:space="preserve"> ROW( co_impactYears[[#This Row],[row_id]] ) - ROW(co_impactYears[[#Headers],[row_id]] )</f>
        <v>12</v>
      </c>
      <c r="C58" s="19" t="s">
        <v>84</v>
      </c>
      <c r="D58" s="109" t="str" cm="1">
        <f t="array" ref="D58" xml:space="preserve"> IF( SUMPRODUCT( --( VALUE( controlTables!E$46 ) = data_scaledImpacts[impactYear] ), --( co_impactYears[[#This Row],[sector_id]] = data_scaledImpacts[sector] ) ) &gt; 0, "", controlTables!D$46  )</f>
        <v>N/A</v>
      </c>
      <c r="E58" s="111" t="str" cm="1">
        <f t="array" ref="E58" xml:space="preserve"> IF( SUMPRODUCT( --( VALUE( controlTables!E$46 ) = data_scaledImpacts[impactYear] ), --( co_impactYears[[#This Row],[sector_id]] = data_scaledImpacts[sector] ) ) &gt; 0, VALUE( controlTables!E$46 ), "" )</f>
        <v/>
      </c>
      <c r="F58" s="109" t="str" cm="1">
        <f t="array" ref="F58" xml:space="preserve"> IF( SUMPRODUCT( --( VALUE( controlTables!F$46 ) = data_scaledImpacts[impactYear] ), --( co_impactYears[[#This Row],[sector_id]] = data_scaledImpacts[sector] ) ) &gt; 0, VALUE( controlTables!F$46 ), "" )</f>
        <v/>
      </c>
    </row>
    <row r="59" spans="2:6" x14ac:dyDescent="0.2">
      <c r="B59" s="9">
        <f xml:space="preserve"> ROW( co_impactYears[[#This Row],[row_id]] ) - ROW(co_impactYears[[#Headers],[row_id]] )</f>
        <v>13</v>
      </c>
      <c r="C59" s="19" t="s">
        <v>34</v>
      </c>
      <c r="D59" s="109" t="str" cm="1">
        <f t="array" ref="D59" xml:space="preserve"> IF( SUMPRODUCT( --( VALUE( controlTables!E$46 ) = data_scaledImpacts[impactYear] ), --( co_impactYears[[#This Row],[sector_id]] = data_scaledImpacts[sector] ) ) &gt; 0, "", controlTables!D$46  )</f>
        <v>N/A</v>
      </c>
      <c r="E59" s="111" t="str" cm="1">
        <f t="array" ref="E59" xml:space="preserve"> IF( SUMPRODUCT( --( VALUE( controlTables!E$46 ) = data_scaledImpacts[impactYear] ), --( co_impactYears[[#This Row],[sector_id]] = data_scaledImpacts[sector] ) ) &gt; 0, VALUE( controlTables!E$46 ), "" )</f>
        <v/>
      </c>
      <c r="F59" s="109" t="str" cm="1">
        <f t="array" ref="F59" xml:space="preserve"> IF( SUMPRODUCT( --( VALUE( controlTables!F$46 ) = data_scaledImpacts[impactYear] ), --( co_impactYears[[#This Row],[sector_id]] = data_scaledImpacts[sector] ) ) &gt; 0, VALUE( controlTables!F$46 ), "" )</f>
        <v/>
      </c>
    </row>
    <row r="60" spans="2:6" x14ac:dyDescent="0.2">
      <c r="B60" s="9">
        <f xml:space="preserve"> ROW( co_impactYears[[#This Row],[row_id]] ) - ROW(co_impactYears[[#Headers],[row_id]] )</f>
        <v>14</v>
      </c>
      <c r="C60" s="19" t="s">
        <v>223</v>
      </c>
      <c r="D60" s="109" t="str" cm="1">
        <f t="array" ref="D60" xml:space="preserve"> IF( SUMPRODUCT( --( VALUE( controlTables!E$46 ) = data_scaledImpacts[impactYear] ), --( co_impactYears[[#This Row],[sector_id]] = data_scaledImpacts[sector] ) ) &gt; 0, "", controlTables!D$46  )</f>
        <v>N/A</v>
      </c>
      <c r="E60" s="111" t="str" cm="1">
        <f t="array" ref="E60" xml:space="preserve"> IF( SUMPRODUCT( --( VALUE( controlTables!E$46 ) = data_scaledImpacts[impactYear] ), --( co_impactYears[[#This Row],[sector_id]] = data_scaledImpacts[sector] ) ) &gt; 0, VALUE( controlTables!E$46 ), "" )</f>
        <v/>
      </c>
      <c r="F60" s="109" t="str" cm="1">
        <f t="array" ref="F60" xml:space="preserve"> IF( SUMPRODUCT( --( VALUE( controlTables!F$46 ) = data_scaledImpacts[impactYear] ), --( co_impactYears[[#This Row],[sector_id]] = data_scaledImpacts[sector] ) ) &gt; 0, VALUE( controlTables!F$46 ), "" )</f>
        <v/>
      </c>
    </row>
    <row r="61" spans="2:6" x14ac:dyDescent="0.2">
      <c r="B61" s="9">
        <f xml:space="preserve"> ROW( co_impactYears[[#This Row],[row_id]] ) - ROW(co_impactYears[[#Headers],[row_id]] )</f>
        <v>15</v>
      </c>
      <c r="C61" s="19" t="s">
        <v>209</v>
      </c>
      <c r="D61" s="109" t="str" cm="1">
        <f t="array" ref="D61" xml:space="preserve"> IF( SUMPRODUCT( --( VALUE( controlTables!E$46 ) = data_scaledImpacts[impactYear] ), --( co_impactYears[[#This Row],[sector_id]] = data_scaledImpacts[sector] ) ) &gt; 0, "", controlTables!D$46  )</f>
        <v>N/A</v>
      </c>
      <c r="E61" s="111" t="str" cm="1">
        <f t="array" ref="E61" xml:space="preserve"> IF( SUMPRODUCT( --( VALUE( controlTables!E$46 ) = data_scaledImpacts[impactYear] ), --( co_impactYears[[#This Row],[sector_id]] = data_scaledImpacts[sector] ) ) &gt; 0, VALUE( controlTables!E$46 ), "" )</f>
        <v/>
      </c>
      <c r="F61" s="109" t="str" cm="1">
        <f t="array" ref="F61" xml:space="preserve"> IF( SUMPRODUCT( --( VALUE( controlTables!F$46 ) = data_scaledImpacts[impactYear] ), --( co_impactYears[[#This Row],[sector_id]] = data_scaledImpacts[sector] ) ) &gt; 0, VALUE( controlTables!F$46 ), "" )</f>
        <v/>
      </c>
    </row>
    <row r="62" spans="2:6" x14ac:dyDescent="0.2">
      <c r="B62" s="9">
        <f xml:space="preserve"> ROW( co_impactYears[[#This Row],[row_id]] ) - ROW(co_impactYears[[#Headers],[row_id]] )</f>
        <v>16</v>
      </c>
      <c r="C62" s="19" t="s">
        <v>216</v>
      </c>
      <c r="D62" s="109" t="str" cm="1">
        <f t="array" ref="D62" xml:space="preserve"> IF( SUMPRODUCT( --( VALUE( controlTables!E$46 ) = data_scaledImpacts[impactYear] ), --( co_impactYears[[#This Row],[sector_id]] = data_scaledImpacts[sector] ) ) &gt; 0, "", controlTables!D$46  )</f>
        <v>N/A</v>
      </c>
      <c r="E62" s="111" t="str" cm="1">
        <f t="array" ref="E62" xml:space="preserve"> IF( SUMPRODUCT( --( VALUE( controlTables!E$46 ) = data_scaledImpacts[impactYear] ), --( co_impactYears[[#This Row],[sector_id]] = data_scaledImpacts[sector] ) ) &gt; 0, VALUE( controlTables!E$46 ), "" )</f>
        <v/>
      </c>
      <c r="F62" s="109" t="str" cm="1">
        <f t="array" ref="F62" xml:space="preserve"> IF( SUMPRODUCT( --( VALUE( controlTables!F$46 ) = data_scaledImpacts[impactYear] ), --( co_impactYears[[#This Row],[sector_id]] = data_scaledImpacts[sector] ) ) &gt; 0, VALUE( controlTables!F$46 ), "" )</f>
        <v/>
      </c>
    </row>
    <row r="63" spans="2:6" x14ac:dyDescent="0.2">
      <c r="B63" s="9">
        <f xml:space="preserve"> ROW( co_impactYears[[#This Row],[row_id]] ) - ROW(co_impactYears[[#Headers],[row_id]] )</f>
        <v>17</v>
      </c>
      <c r="C63" s="19" t="s">
        <v>85</v>
      </c>
      <c r="D63" s="109" t="str" cm="1">
        <f t="array" ref="D63" xml:space="preserve"> IF( SUMPRODUCT( --( VALUE( controlTables!E$46 ) = data_scaledImpacts[impactYear] ), --( co_impactYears[[#This Row],[sector_id]] = data_scaledImpacts[sector] ) ) &gt; 0, "", controlTables!D$46  )</f>
        <v/>
      </c>
      <c r="E63" s="111" cm="1">
        <f t="array" ref="E63" xml:space="preserve"> IF( SUMPRODUCT( --( VALUE( controlTables!E$46 ) = data_scaledImpacts[impactYear] ), --( co_impactYears[[#This Row],[sector_id]] = data_scaledImpacts[sector] ) ) &gt; 0, VALUE( controlTables!E$46 ), "" )</f>
        <v>2010</v>
      </c>
      <c r="F63" s="109" cm="1">
        <f t="array" ref="F63" xml:space="preserve"> IF( SUMPRODUCT( --( VALUE( controlTables!F$46 ) = data_scaledImpacts[impactYear] ), --( co_impactYears[[#This Row],[sector_id]] = data_scaledImpacts[sector] ) ) &gt; 0, VALUE( controlTables!F$46 ), "" )</f>
        <v>2090</v>
      </c>
    </row>
    <row r="64" spans="2:6" x14ac:dyDescent="0.2">
      <c r="B64" s="9">
        <f xml:space="preserve"> ROW( co_impactYears[[#This Row],[row_id]] ) - ROW(co_impactYears[[#Headers],[row_id]] )</f>
        <v>18</v>
      </c>
      <c r="C64" s="19" t="s">
        <v>225</v>
      </c>
      <c r="D64" s="109" t="str" cm="1">
        <f t="array" ref="D64" xml:space="preserve"> IF( SUMPRODUCT( --( VALUE( controlTables!E$46 ) = data_scaledImpacts[impactYear] ), --( co_impactYears[[#This Row],[sector_id]] = data_scaledImpacts[sector] ) ) &gt; 0, "", controlTables!D$46  )</f>
        <v>N/A</v>
      </c>
      <c r="E64" s="111" t="str" cm="1">
        <f t="array" ref="E64" xml:space="preserve"> IF( SUMPRODUCT( --( VALUE( controlTables!E$46 ) = data_scaledImpacts[impactYear] ), --( co_impactYears[[#This Row],[sector_id]] = data_scaledImpacts[sector] ) ) &gt; 0, VALUE( controlTables!E$46 ), "" )</f>
        <v/>
      </c>
      <c r="F64" s="109" t="str" cm="1">
        <f t="array" ref="F64" xml:space="preserve"> IF( SUMPRODUCT( --( VALUE( controlTables!F$46 ) = data_scaledImpacts[impactYear] ), --( co_impactYears[[#This Row],[sector_id]] = data_scaledImpacts[sector] ) ) &gt; 0, VALUE( controlTables!F$46 ), "" )</f>
        <v/>
      </c>
    </row>
    <row r="65" spans="1:21" x14ac:dyDescent="0.2">
      <c r="B65" s="9">
        <f xml:space="preserve"> ROW( co_impactYears[[#This Row],[row_id]] ) - ROW(co_impactYears[[#Headers],[row_id]] )</f>
        <v>19</v>
      </c>
      <c r="C65" s="19" t="s">
        <v>1303</v>
      </c>
      <c r="D65" s="109" t="str" cm="1">
        <f t="array" ref="D65" xml:space="preserve"> IF( SUMPRODUCT( --( VALUE( controlTables!E$46 ) = data_scaledImpacts[impactYear] ), --( co_impactYears[[#This Row],[sector_id]] = data_scaledImpacts[sector] ) ) &gt; 0, "", controlTables!D$46  )</f>
        <v>N/A</v>
      </c>
      <c r="E65" s="111" t="str" cm="1">
        <f t="array" ref="E65" xml:space="preserve"> IF( SUMPRODUCT( --( VALUE( controlTables!E$46 ) = data_scaledImpacts[impactYear] ), --( co_impactYears[[#This Row],[sector_id]] = data_scaledImpacts[sector] ) ) &gt; 0, VALUE( controlTables!E$46 ), "" )</f>
        <v/>
      </c>
      <c r="F65" s="109" t="str" cm="1">
        <f t="array" ref="F65" xml:space="preserve"> IF( SUMPRODUCT( --( VALUE( controlTables!F$46 ) = data_scaledImpacts[impactYear] ), --( co_impactYears[[#This Row],[sector_id]] = data_scaledImpacts[sector] ) ) &gt; 0, VALUE( controlTables!F$46 ), "" )</f>
        <v/>
      </c>
    </row>
    <row r="66" spans="1:21" x14ac:dyDescent="0.2">
      <c r="B66" s="9">
        <f xml:space="preserve"> ROW( co_impactYears[[#This Row],[row_id]] ) - ROW(co_impactYears[[#Headers],[row_id]] )</f>
        <v>20</v>
      </c>
      <c r="C66" s="19" t="s">
        <v>983</v>
      </c>
      <c r="D66" s="109" t="str" cm="1">
        <f t="array" ref="D66" xml:space="preserve"> IF( SUMPRODUCT( --( VALUE( controlTables!E$46 ) = data_scaledImpacts[impactYear] ), --( co_impactYears[[#This Row],[sector_id]] = data_scaledImpacts[sector] ) ) &gt; 0, "", controlTables!D$46  )</f>
        <v>N/A</v>
      </c>
      <c r="E66" s="111" t="str" cm="1">
        <f t="array" ref="E66" xml:space="preserve"> IF( SUMPRODUCT( --( VALUE( controlTables!E$46 ) = data_scaledImpacts[impactYear] ), --( co_impactYears[[#This Row],[sector_id]] = data_scaledImpacts[sector] ) ) &gt; 0, VALUE( controlTables!E$46 ), "" )</f>
        <v/>
      </c>
      <c r="F66" s="109" t="str" cm="1">
        <f t="array" ref="F66" xml:space="preserve"> IF( SUMPRODUCT( --( VALUE( controlTables!F$46 ) = data_scaledImpacts[impactYear] ), --( co_impactYears[[#This Row],[sector_id]] = data_scaledImpacts[sector] ) ) &gt; 0, VALUE( controlTables!F$46 ), "" )</f>
        <v/>
      </c>
    </row>
    <row r="67" spans="1:21" x14ac:dyDescent="0.2">
      <c r="B67" s="9">
        <f xml:space="preserve"> ROW( co_impactYears[[#This Row],[row_id]] ) - ROW(co_impactYears[[#Headers],[row_id]] )</f>
        <v>21</v>
      </c>
      <c r="C67" s="19" t="s">
        <v>227</v>
      </c>
      <c r="D67" s="109" t="str" cm="1">
        <f t="array" ref="D67" xml:space="preserve"> IF( SUMPRODUCT( --( VALUE( controlTables!E$46 ) = data_scaledImpacts[impactYear] ), --( co_impactYears[[#This Row],[sector_id]] = data_scaledImpacts[sector] ) ) &gt; 0, "", controlTables!D$46  )</f>
        <v>N/A</v>
      </c>
      <c r="E67" s="111" t="str" cm="1">
        <f t="array" ref="E67" xml:space="preserve"> IF( SUMPRODUCT( --( VALUE( controlTables!E$46 ) = data_scaledImpacts[impactYear] ), --( co_impactYears[[#This Row],[sector_id]] = data_scaledImpacts[sector] ) ) &gt; 0, VALUE( controlTables!E$46 ), "" )</f>
        <v/>
      </c>
      <c r="F67" s="109" t="str" cm="1">
        <f t="array" ref="F67" xml:space="preserve"> IF( SUMPRODUCT( --( VALUE( controlTables!F$46 ) = data_scaledImpacts[impactYear] ), --( co_impactYears[[#This Row],[sector_id]] = data_scaledImpacts[sector] ) ) &gt; 0, VALUE( controlTables!F$46 ), "" )</f>
        <v/>
      </c>
    </row>
    <row r="68" spans="1:21" x14ac:dyDescent="0.2">
      <c r="B68" s="9">
        <f xml:space="preserve"> ROW( co_impactYears[[#This Row],[row_id]] ) - ROW(co_impactYears[[#Headers],[row_id]] )</f>
        <v>22</v>
      </c>
      <c r="C68" s="19" t="s">
        <v>761</v>
      </c>
      <c r="D68" s="109" t="str" cm="1">
        <f t="array" ref="D68" xml:space="preserve"> IF( SUMPRODUCT( --( VALUE( controlTables!E$46 ) = data_scaledImpacts[impactYear] ), --( co_impactYears[[#This Row],[sector_id]] = data_scaledImpacts[sector] ) ) &gt; 0, "", controlTables!D$46  )</f>
        <v>N/A</v>
      </c>
      <c r="E68" s="111" t="str" cm="1">
        <f t="array" ref="E68" xml:space="preserve"> IF( SUMPRODUCT( --( VALUE( controlTables!E$46 ) = data_scaledImpacts[impactYear] ), --( co_impactYears[[#This Row],[sector_id]] = data_scaledImpacts[sector] ) ) &gt; 0, VALUE( controlTables!E$46 ), "" )</f>
        <v/>
      </c>
      <c r="F68" s="109" t="str" cm="1">
        <f t="array" ref="F68" xml:space="preserve"> IF( SUMPRODUCT( --( VALUE( controlTables!F$46 ) = data_scaledImpacts[impactYear] ), --( co_impactYears[[#This Row],[sector_id]] = data_scaledImpacts[sector] ) ) &gt; 0, VALUE( controlTables!F$46 ), "" )</f>
        <v/>
      </c>
    </row>
    <row r="69" spans="1:21" x14ac:dyDescent="0.2">
      <c r="B69" s="9">
        <f xml:space="preserve"> ROW( co_impactYears[[#This Row],[row_id]] ) - ROW(co_impactYears[[#Headers],[row_id]] )</f>
        <v>23</v>
      </c>
      <c r="C69" s="19" t="s">
        <v>1088</v>
      </c>
      <c r="D69" s="109" t="str" cm="1">
        <f t="array" ref="D69" xml:space="preserve"> IF( SUMPRODUCT( --( VALUE( controlTables!E$46 ) = data_scaledImpacts[impactYear] ), --( co_impactYears[[#This Row],[sector_id]] = data_scaledImpacts[sector] ) ) &gt; 0, "", controlTables!D$46  )</f>
        <v>N/A</v>
      </c>
      <c r="E69" s="111" t="str" cm="1">
        <f t="array" ref="E69" xml:space="preserve"> IF( SUMPRODUCT( --( VALUE( controlTables!E$46 ) = data_scaledImpacts[impactYear] ), --( co_impactYears[[#This Row],[sector_id]] = data_scaledImpacts[sector] ) ) &gt; 0, VALUE( controlTables!E$46 ), "" )</f>
        <v/>
      </c>
      <c r="F69" s="109" t="str" cm="1">
        <f t="array" ref="F69" xml:space="preserve"> IF( SUMPRODUCT( --( VALUE( controlTables!F$46 ) = data_scaledImpacts[impactYear] ), --( co_impactYears[[#This Row],[sector_id]] = data_scaledImpacts[sector] ) ) &gt; 0, VALUE( controlTables!F$46 ), "" )</f>
        <v/>
      </c>
    </row>
    <row r="70" spans="1:21" x14ac:dyDescent="0.2">
      <c r="B70" s="9">
        <f xml:space="preserve"> ROW( co_impactYears[[#This Row],[row_id]] ) - ROW(co_impactYears[[#Headers],[row_id]] )</f>
        <v>24</v>
      </c>
      <c r="C70" s="19" t="s">
        <v>89</v>
      </c>
      <c r="D70" s="109" t="str" cm="1">
        <f t="array" ref="D70" xml:space="preserve"> IF( SUMPRODUCT( --( VALUE( controlTables!E$46 ) = data_scaledImpacts[impactYear] ), --( co_impactYears[[#This Row],[sector_id]] = data_scaledImpacts[sector] ) ) &gt; 0, "", controlTables!D$46  )</f>
        <v/>
      </c>
      <c r="E70" s="111" cm="1">
        <f t="array" ref="E70" xml:space="preserve"> IF( SUMPRODUCT( --( VALUE( controlTables!E$46 ) = data_scaledImpacts[impactYear] ), --( co_impactYears[[#This Row],[sector_id]] = data_scaledImpacts[sector] ) ) &gt; 0, VALUE( controlTables!E$46 ), "" )</f>
        <v>2010</v>
      </c>
      <c r="F70" s="109" cm="1">
        <f t="array" ref="F70" xml:space="preserve"> IF( SUMPRODUCT( --( VALUE( controlTables!F$46 ) = data_scaledImpacts[impactYear] ), --( co_impactYears[[#This Row],[sector_id]] = data_scaledImpacts[sector] ) ) &gt; 0, VALUE( controlTables!F$46 ), "" )</f>
        <v>2090</v>
      </c>
    </row>
    <row r="72" spans="1:21" ht="15" x14ac:dyDescent="0.25">
      <c r="A72" s="63"/>
      <c r="B72" s="64" t="s">
        <v>1238</v>
      </c>
      <c r="C72" s="64"/>
      <c r="D72" s="64"/>
      <c r="E72" s="64"/>
      <c r="F72" s="64"/>
      <c r="G72" s="64"/>
      <c r="H72" s="64"/>
      <c r="I72" s="64"/>
      <c r="J72" s="64"/>
      <c r="K72" s="64"/>
      <c r="L72" s="64"/>
      <c r="M72" s="64"/>
      <c r="N72" s="64"/>
      <c r="O72" s="64"/>
      <c r="P72" s="64"/>
      <c r="Q72" s="64"/>
      <c r="R72" s="64"/>
      <c r="S72" s="64"/>
      <c r="T72" s="64"/>
      <c r="U72" s="64"/>
    </row>
    <row r="73" spans="1:21" x14ac:dyDescent="0.2">
      <c r="B73" s="6" t="s">
        <v>1306</v>
      </c>
      <c r="C73" s="6"/>
      <c r="D73" s="6"/>
      <c r="E73" s="28"/>
      <c r="F73" s="6"/>
      <c r="G73" s="6"/>
      <c r="H73" s="6"/>
      <c r="I73" s="6"/>
      <c r="J73" s="6"/>
      <c r="K73" s="6"/>
    </row>
    <row r="74" spans="1:21" x14ac:dyDescent="0.2">
      <c r="B74" s="6" t="s">
        <v>1239</v>
      </c>
      <c r="C74" s="6"/>
      <c r="D74" s="6"/>
      <c r="E74" s="28"/>
      <c r="F74" s="6"/>
      <c r="G74" s="6"/>
      <c r="H74" s="6"/>
      <c r="I74" s="6"/>
      <c r="J74" s="6"/>
      <c r="K74" s="6"/>
    </row>
    <row r="75" spans="1:21" x14ac:dyDescent="0.2">
      <c r="B75" s="6" t="s">
        <v>1240</v>
      </c>
      <c r="C75" s="6"/>
      <c r="D75" s="6"/>
      <c r="E75" s="28"/>
      <c r="F75" s="6"/>
      <c r="G75" s="6"/>
      <c r="H75" s="6"/>
      <c r="I75" s="6"/>
      <c r="J75" s="6"/>
      <c r="K75" s="6"/>
    </row>
    <row r="76" spans="1:21" ht="15" x14ac:dyDescent="0.25">
      <c r="B76" s="102" t="s">
        <v>780</v>
      </c>
      <c r="C76" s="102" t="s">
        <v>219</v>
      </c>
      <c r="D76" s="102" t="s">
        <v>1241</v>
      </c>
      <c r="E76" s="102" t="s">
        <v>1242</v>
      </c>
      <c r="F76" s="106" t="s">
        <v>1243</v>
      </c>
      <c r="G76" s="80" t="s">
        <v>1017</v>
      </c>
      <c r="H76" s="80" t="s">
        <v>1018</v>
      </c>
      <c r="I76" s="78" t="s">
        <v>796</v>
      </c>
      <c r="J76" s="80" t="s">
        <v>919</v>
      </c>
      <c r="K76" s="78" t="s">
        <v>1261</v>
      </c>
      <c r="L76" s="33"/>
      <c r="M76" s="33"/>
      <c r="N76" s="33"/>
      <c r="O76" s="33"/>
      <c r="P76" s="33"/>
      <c r="Q76" s="33"/>
    </row>
    <row r="77" spans="1:21" ht="15" x14ac:dyDescent="0.25">
      <c r="B77" s="8">
        <f xml:space="preserve"> ROW( co_variants[[#This Row],[row_id]] ) - ROW( co_variants[[#Headers],[row_id]] )</f>
        <v>1</v>
      </c>
      <c r="C77" s="19" t="s">
        <v>559</v>
      </c>
      <c r="D77" s="74" t="s">
        <v>773</v>
      </c>
      <c r="E77" s="146">
        <v>2011</v>
      </c>
      <c r="F77" s="146">
        <v>2011</v>
      </c>
      <c r="G77" s="75">
        <v>1</v>
      </c>
      <c r="H77" s="75">
        <v>1</v>
      </c>
      <c r="I77" s="107" t="str">
        <f xml:space="preserve"> INDEX( co_impactTypes[damageAdjName], MATCH( co_variants[[#This Row],[sector_id]], co_impactTypes[sector_id], 0 ) ) &amp;
   IF( co_variants[[#This Row],[sector_id]] = "Roads", IF( co_variants[[#This Row],[variant_id_excel]] = "Proactive", "_proactive", "_other" ), "" )</f>
        <v>none</v>
      </c>
      <c r="J77" s="83"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1</v>
      </c>
      <c r="L77" s="17"/>
      <c r="M77" s="17"/>
      <c r="N77" s="17"/>
      <c r="O77" s="17"/>
    </row>
    <row r="78" spans="1:21" ht="15" x14ac:dyDescent="0.25">
      <c r="B78" s="8">
        <f xml:space="preserve"> ROW( co_variants[[#This Row],[row_id]] ) - ROW( co_variants[[#Headers],[row_id]] )</f>
        <v>2</v>
      </c>
      <c r="C78" s="19" t="s">
        <v>559</v>
      </c>
      <c r="D78" s="74" t="s">
        <v>945</v>
      </c>
      <c r="E78" s="146">
        <v>2040</v>
      </c>
      <c r="F78" s="146">
        <v>2040</v>
      </c>
      <c r="G78" s="75">
        <v>0</v>
      </c>
      <c r="H78" s="75">
        <v>0</v>
      </c>
      <c r="I78" s="107" t="str">
        <f xml:space="preserve"> INDEX( co_impactTypes[damageAdjName], MATCH( co_variants[[#This Row],[sector_id]], co_impactTypes[sector_id], 0 ) ) &amp;
   IF( co_variants[[#This Row],[sector_id]] = "Roads", IF( co_variants[[#This Row],[variant_id_excel]] = "Proactive", "_proactive", "_other" ), "" )</f>
        <v>none</v>
      </c>
      <c r="J78" s="83"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1</v>
      </c>
      <c r="L78" s="17"/>
      <c r="M78" s="17"/>
      <c r="N78" s="17"/>
      <c r="O78" s="17"/>
    </row>
    <row r="79" spans="1:21" ht="15" x14ac:dyDescent="0.25">
      <c r="B79" s="9">
        <f xml:space="preserve"> ROW( co_variants[[#This Row],[row_id]] ) - ROW( co_variants[[#Headers],[row_id]] )</f>
        <v>3</v>
      </c>
      <c r="C79" s="19" t="s">
        <v>1005</v>
      </c>
      <c r="D79" s="74" t="s">
        <v>201</v>
      </c>
      <c r="E79" s="146" t="s">
        <v>927</v>
      </c>
      <c r="F79" s="146" t="s">
        <v>201</v>
      </c>
      <c r="G79" s="77">
        <v>1</v>
      </c>
      <c r="H79" s="77">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4</v>
      </c>
      <c r="C80" s="19" t="s">
        <v>1247</v>
      </c>
      <c r="D80" s="74" t="s">
        <v>1258</v>
      </c>
      <c r="E80" s="146" t="s">
        <v>1248</v>
      </c>
      <c r="F80" s="147" t="s">
        <v>1248</v>
      </c>
      <c r="G80" s="152">
        <v>1</v>
      </c>
      <c r="H80" s="152">
        <v>1</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5</v>
      </c>
      <c r="C81" s="19" t="s">
        <v>1247</v>
      </c>
      <c r="D81" s="74" t="s">
        <v>1259</v>
      </c>
      <c r="E81" s="146" t="s">
        <v>1266</v>
      </c>
      <c r="F81" s="147" t="s">
        <v>1256</v>
      </c>
      <c r="G81" s="152">
        <v>0</v>
      </c>
      <c r="H81" s="152">
        <v>0</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0</v>
      </c>
      <c r="L81" s="17"/>
      <c r="M81" s="17"/>
      <c r="N81" s="17"/>
      <c r="O81" s="17"/>
    </row>
    <row r="82" spans="2:15" ht="15" x14ac:dyDescent="0.25">
      <c r="B82" s="9">
        <f xml:space="preserve"> ROW( co_variants[[#This Row],[row_id]] ) - ROW( co_variants[[#Headers],[row_id]] )</f>
        <v>6</v>
      </c>
      <c r="C82" s="19" t="s">
        <v>1247</v>
      </c>
      <c r="D82" s="74" t="s">
        <v>1260</v>
      </c>
      <c r="E82" s="146" t="s">
        <v>1267</v>
      </c>
      <c r="F82" s="147" t="s">
        <v>1257</v>
      </c>
      <c r="G82" s="152">
        <v>0</v>
      </c>
      <c r="H82" s="152">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0</v>
      </c>
      <c r="L82" s="17"/>
      <c r="M82" s="17"/>
      <c r="N82" s="17"/>
      <c r="O82" s="17"/>
    </row>
    <row r="83" spans="2:15" ht="15" x14ac:dyDescent="0.25">
      <c r="B83" s="9">
        <f xml:space="preserve"> ROW( co_variants[[#This Row],[row_id]] ) - ROW( co_variants[[#Headers],[row_id]] )</f>
        <v>7</v>
      </c>
      <c r="C83" s="19" t="s">
        <v>1229</v>
      </c>
      <c r="D83" s="146" t="s">
        <v>1165</v>
      </c>
      <c r="E83" s="146" t="s">
        <v>1220</v>
      </c>
      <c r="F83" s="146" t="s">
        <v>1165</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8</v>
      </c>
      <c r="C84" s="19" t="s">
        <v>1229</v>
      </c>
      <c r="D84" s="146" t="s">
        <v>1164</v>
      </c>
      <c r="E84" s="146" t="s">
        <v>1221</v>
      </c>
      <c r="F84" s="146" t="s">
        <v>1164</v>
      </c>
      <c r="G84" s="130">
        <v>0</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1</v>
      </c>
      <c r="L84" s="17"/>
      <c r="M84" s="17"/>
      <c r="N84" s="17"/>
      <c r="O84" s="17"/>
    </row>
    <row r="85" spans="2:15" ht="15" x14ac:dyDescent="0.25">
      <c r="B85" s="9">
        <f xml:space="preserve"> ROW( co_variants[[#This Row],[row_id]] ) - ROW( co_variants[[#Headers],[row_id]] )</f>
        <v>9</v>
      </c>
      <c r="C85" s="19" t="s">
        <v>1230</v>
      </c>
      <c r="D85" s="74" t="s">
        <v>201</v>
      </c>
      <c r="E85" s="146" t="s">
        <v>927</v>
      </c>
      <c r="F85" s="147" t="s">
        <v>201</v>
      </c>
      <c r="G85" s="130">
        <v>1</v>
      </c>
      <c r="H85" s="130">
        <v>1</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3" cm="1">
        <f t="array" ref="K85" xml:space="preserve"> --( SUMPRODUCT( --( co_impactTypes[sector_id] = co_variants[[#This Row],[sector_id]] ) ) &gt; 1 )</f>
        <v>1</v>
      </c>
      <c r="L85" s="17"/>
      <c r="M85" s="17"/>
      <c r="N85" s="17"/>
      <c r="O85" s="17"/>
    </row>
    <row r="86" spans="2:15" ht="15" x14ac:dyDescent="0.25">
      <c r="B86" s="9">
        <f xml:space="preserve"> ROW( co_variants[[#This Row],[row_id]] ) - ROW( co_variants[[#Headers],[row_id]] )</f>
        <v>10</v>
      </c>
      <c r="C86" s="19" t="s">
        <v>1159</v>
      </c>
      <c r="D86" s="74" t="s">
        <v>1264</v>
      </c>
      <c r="E86" s="146" t="s">
        <v>1263</v>
      </c>
      <c r="F86" s="146" t="s">
        <v>1263</v>
      </c>
      <c r="G86" s="130">
        <v>1</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3"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11</v>
      </c>
      <c r="C87" s="19" t="s">
        <v>1159</v>
      </c>
      <c r="D87" s="74" t="s">
        <v>1259</v>
      </c>
      <c r="E87" s="146" t="s">
        <v>1266</v>
      </c>
      <c r="F87" s="146" t="s">
        <v>1256</v>
      </c>
      <c r="G87" s="130">
        <v>0</v>
      </c>
      <c r="H87" s="130">
        <v>0</v>
      </c>
      <c r="I87" s="108" t="str">
        <f xml:space="preserve"> INDEX( co_impactTypes[damageAdjName], MATCH( co_variants[[#This Row],[sector_id]], co_impactTypes[sector_id], 0 ) ) &amp;
   IF( co_variants[[#This Row],[sector_id]] = "Roads", IF( co_variants[[#This Row],[variant_id_excel]] = "Proactive", "_proactive", "_other" ), "" )</f>
        <v>none</v>
      </c>
      <c r="J87" s="86" cm="1">
        <f t="array" ref="J87" xml:space="preserve"> --( SUMPRODUCT( --( co_variants[[#This Row],[sector_id]] = data_scaledImpacts[sector] ), --( co_variants[[#This Row],[variant_id_excel]] = data_scaledImpacts[variant] ) ) &gt; 1 )</f>
        <v>1</v>
      </c>
      <c r="K87" s="86"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12</v>
      </c>
      <c r="C88" s="19" t="s">
        <v>1159</v>
      </c>
      <c r="D88" s="74" t="s">
        <v>1260</v>
      </c>
      <c r="E88" s="146" t="s">
        <v>1267</v>
      </c>
      <c r="F88" s="146" t="s">
        <v>1257</v>
      </c>
      <c r="G88" s="130">
        <v>0</v>
      </c>
      <c r="H88" s="130">
        <v>0</v>
      </c>
      <c r="I88" s="108" t="str">
        <f xml:space="preserve"> INDEX( co_impactTypes[damageAdjName], MATCH( co_variants[[#This Row],[sector_id]], co_impactTypes[sector_id], 0 ) ) &amp;
   IF( co_variants[[#This Row],[sector_id]] = "Roads", IF( co_variants[[#This Row],[variant_id_excel]] = "Proactive", "_proactive", "_other" ), "" )</f>
        <v>none</v>
      </c>
      <c r="J88" s="86" cm="1">
        <f t="array" ref="J88" xml:space="preserve"> --( SUMPRODUCT( --( co_variants[[#This Row],[sector_id]] = data_scaledImpacts[sector] ), --( co_variants[[#This Row],[variant_id_excel]] = data_scaledImpacts[variant] ) ) &gt; 1 )</f>
        <v>1</v>
      </c>
      <c r="K88" s="86"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13</v>
      </c>
      <c r="C89" s="19" t="s">
        <v>86</v>
      </c>
      <c r="D89" s="74" t="s">
        <v>776</v>
      </c>
      <c r="E89" s="146" t="s">
        <v>87</v>
      </c>
      <c r="F89" s="147" t="s">
        <v>87</v>
      </c>
      <c r="G89" s="75">
        <v>0</v>
      </c>
      <c r="H89" s="75">
        <v>0</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14</v>
      </c>
      <c r="C90" s="19" t="s">
        <v>86</v>
      </c>
      <c r="D90" s="74" t="s">
        <v>777</v>
      </c>
      <c r="E90" s="147" t="s">
        <v>208</v>
      </c>
      <c r="F90" s="147" t="s">
        <v>208</v>
      </c>
      <c r="G90" s="75">
        <v>0</v>
      </c>
      <c r="H90" s="75">
        <v>0</v>
      </c>
      <c r="I90" s="107" t="str">
        <f xml:space="preserve"> INDEX( co_impactTypes[damageAdjName], MATCH( co_variants[[#This Row],[sector_id]], co_impactTypes[sector_id], 0 ) ) &amp;
   IF( co_variants[[#This Row],[sector_id]] = "Roads", IF( co_variants[[#This Row],[variant_id_excel]] = "Proactive", "_proactive", "_other" ), "" )</f>
        <v>none</v>
      </c>
      <c r="J90" s="83" cm="1">
        <f t="array" ref="J90" xml:space="preserve"> --( SUMPRODUCT( --( co_variants[[#This Row],[sector_id]] = data_scaledImpacts[sector] ), --( co_variants[[#This Row],[variant_id_excel]] = data_scaledImpacts[variant] ) ) &gt; 1 )</f>
        <v>0</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15</v>
      </c>
      <c r="C91" s="19" t="s">
        <v>86</v>
      </c>
      <c r="D91" s="74" t="s">
        <v>778</v>
      </c>
      <c r="E91" s="147" t="s">
        <v>88</v>
      </c>
      <c r="F91" s="147" t="s">
        <v>88</v>
      </c>
      <c r="G91" s="75">
        <v>1</v>
      </c>
      <c r="H91" s="75">
        <v>1</v>
      </c>
      <c r="I91" s="107" t="str">
        <f xml:space="preserve"> INDEX( co_impactTypes[damageAdjName], MATCH( co_variants[[#This Row],[sector_id]], co_impactTypes[sector_id], 0 ) ) &amp;
   IF( co_variants[[#This Row],[sector_id]] = "Roads", IF( co_variants[[#This Row],[variant_id_excel]] = "Proactive", "_proactive", "_other" ), "" )</f>
        <v>none</v>
      </c>
      <c r="J91" s="83" cm="1">
        <f t="array" ref="J91" xml:space="preserve"> --( SUMPRODUCT( --( co_variants[[#This Row],[sector_id]] = data_scaledImpacts[sector] ), --( co_variants[[#This Row],[variant_id_excel]] = data_scaledImpacts[variant] ) ) &gt; 1 )</f>
        <v>0</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16</v>
      </c>
      <c r="C92" s="19" t="s">
        <v>220</v>
      </c>
      <c r="D92" s="74" t="s">
        <v>201</v>
      </c>
      <c r="E92" s="146" t="s">
        <v>927</v>
      </c>
      <c r="F92" s="147" t="s">
        <v>201</v>
      </c>
      <c r="G92" s="75">
        <v>1</v>
      </c>
      <c r="H92" s="75">
        <v>1</v>
      </c>
      <c r="I92" s="107" t="str">
        <f xml:space="preserve"> INDEX( co_impactTypes[damageAdjName], MATCH( co_variants[[#This Row],[sector_id]], co_impactTypes[sector_id], 0 ) ) &amp;
   IF( co_variants[[#This Row],[sector_id]] = "Roads", IF( co_variants[[#This Row],[variant_id_excel]] = "Proactive", "_proactive", "_other" ), "" )</f>
        <v>elecSD_refCosts</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17</v>
      </c>
      <c r="C93" s="19" t="s">
        <v>1002</v>
      </c>
      <c r="D93" s="74" t="s">
        <v>776</v>
      </c>
      <c r="E93" s="146" t="s">
        <v>87</v>
      </c>
      <c r="F93" s="147" t="s">
        <v>87</v>
      </c>
      <c r="G93" s="75">
        <v>0</v>
      </c>
      <c r="H93" s="75">
        <v>0</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9">
        <f xml:space="preserve"> ROW( co_variants[[#This Row],[row_id]] ) - ROW( co_variants[[#Headers],[row_id]] )</f>
        <v>18</v>
      </c>
      <c r="C94" s="19" t="s">
        <v>1002</v>
      </c>
      <c r="D94" s="74" t="s">
        <v>777</v>
      </c>
      <c r="E94" s="147" t="s">
        <v>208</v>
      </c>
      <c r="F94" s="147" t="s">
        <v>208</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elecTD_growthFactor</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0</v>
      </c>
      <c r="L94" s="17"/>
      <c r="M94" s="17"/>
      <c r="N94" s="17"/>
      <c r="O94" s="17"/>
    </row>
    <row r="95" spans="2:15" ht="15" x14ac:dyDescent="0.25">
      <c r="B95" s="9">
        <f xml:space="preserve"> ROW( co_variants[[#This Row],[row_id]] ) - ROW( co_variants[[#Headers],[row_id]] )</f>
        <v>19</v>
      </c>
      <c r="C95" s="19" t="s">
        <v>1002</v>
      </c>
      <c r="D95" s="74" t="s">
        <v>778</v>
      </c>
      <c r="E95" s="147" t="s">
        <v>88</v>
      </c>
      <c r="F95" s="147" t="s">
        <v>88</v>
      </c>
      <c r="G95" s="75">
        <v>1</v>
      </c>
      <c r="H95" s="75">
        <v>1</v>
      </c>
      <c r="I95" s="107" t="str">
        <f xml:space="preserve"> INDEX( co_impactTypes[damageAdjName], MATCH( co_variants[[#This Row],[sector_id]], co_impactTypes[sector_id], 0 ) ) &amp;
   IF( co_variants[[#This Row],[sector_id]] = "Roads", IF( co_variants[[#This Row],[variant_id_excel]] = "Proactive", "_proactive", "_other" ), "" )</f>
        <v>elecTD_growthFactor</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0</v>
      </c>
      <c r="L95" s="17"/>
      <c r="M95" s="17"/>
      <c r="N95" s="17"/>
      <c r="O95" s="17"/>
    </row>
    <row r="96" spans="2:15" ht="15" x14ac:dyDescent="0.25">
      <c r="B96" s="8">
        <f xml:space="preserve"> ROW( co_variants[[#This Row],[row_id]] ) - ROW( co_variants[[#Headers],[row_id]] )</f>
        <v>20</v>
      </c>
      <c r="C96" s="19" t="s">
        <v>17</v>
      </c>
      <c r="D96" s="74" t="s">
        <v>774</v>
      </c>
      <c r="E96" s="146" t="s">
        <v>928</v>
      </c>
      <c r="F96" s="147" t="s">
        <v>774</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1</v>
      </c>
      <c r="K96" s="83" cm="1">
        <f t="array" ref="K96" xml:space="preserve"> --( SUMPRODUCT( --( co_impactTypes[sector_id] = co_variants[[#This Row],[sector_id]] ) ) &gt; 1 )</f>
        <v>1</v>
      </c>
      <c r="L96" s="17"/>
      <c r="M96" s="17"/>
      <c r="N96" s="17"/>
      <c r="O96" s="17"/>
    </row>
    <row r="97" spans="2:15" ht="15" x14ac:dyDescent="0.25">
      <c r="B97" s="9">
        <f xml:space="preserve"> ROW( co_variants[[#This Row],[row_id]] ) - ROW( co_variants[[#Headers],[row_id]] )</f>
        <v>21</v>
      </c>
      <c r="C97" s="19" t="s">
        <v>17</v>
      </c>
      <c r="D97" s="74" t="s">
        <v>776</v>
      </c>
      <c r="E97" s="146" t="s">
        <v>87</v>
      </c>
      <c r="F97" s="147" t="s">
        <v>776</v>
      </c>
      <c r="G97" s="75">
        <v>1</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1</v>
      </c>
      <c r="K97" s="83" cm="1">
        <f t="array" ref="K97" xml:space="preserve"> --( SUMPRODUCT( --( co_impactTypes[sector_id] = co_variants[[#This Row],[sector_id]] ) ) &gt; 1 )</f>
        <v>1</v>
      </c>
      <c r="L97" s="17"/>
      <c r="M97" s="17"/>
      <c r="N97" s="17"/>
      <c r="O97" s="17"/>
    </row>
    <row r="98" spans="2:15" ht="15" x14ac:dyDescent="0.25">
      <c r="B98" s="8">
        <f xml:space="preserve"> ROW( co_variants[[#This Row],[row_id]] ) - ROW( co_variants[[#Headers],[row_id]] )</f>
        <v>22</v>
      </c>
      <c r="C98" s="19" t="s">
        <v>221</v>
      </c>
      <c r="D98" s="74" t="s">
        <v>775</v>
      </c>
      <c r="E98" s="146" t="s">
        <v>231</v>
      </c>
      <c r="F98" s="147" t="s">
        <v>208</v>
      </c>
      <c r="G98" s="75">
        <v>0</v>
      </c>
      <c r="H98" s="75">
        <v>0</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23</v>
      </c>
      <c r="C99" s="19" t="s">
        <v>221</v>
      </c>
      <c r="D99" s="74" t="s">
        <v>776</v>
      </c>
      <c r="E99" s="146" t="s">
        <v>87</v>
      </c>
      <c r="F99" s="147" t="s">
        <v>87</v>
      </c>
      <c r="G99" s="75">
        <v>0</v>
      </c>
      <c r="H99" s="75">
        <v>0</v>
      </c>
      <c r="I99" s="107" t="str">
        <f xml:space="preserve"> INDEX( co_impactTypes[damageAdjName], MATCH( co_variants[[#This Row],[sector_id]], co_impactTypes[sector_id], 0 ) ) &amp;
   IF( co_variants[[#This Row],[sector_id]] = "Roads", IF( co_variants[[#This Row],[variant_id_excel]] = "Proactive", "_proactive", "_other" ), "" )</f>
        <v>none</v>
      </c>
      <c r="J99" s="83" cm="1">
        <f t="array" ref="J99" xml:space="preserve"> --( SUMPRODUCT( --( co_variants[[#This Row],[sector_id]] = data_scaledImpacts[sector] ), --( co_variants[[#This Row],[variant_id_excel]] = data_scaledImpacts[variant] ) ) &gt; 1 )</f>
        <v>0</v>
      </c>
      <c r="K99" s="83" cm="1">
        <f t="array" ref="K99" xml:space="preserve"> --( SUMPRODUCT( --( co_impactTypes[sector_id] = co_variants[[#This Row],[sector_id]] ) ) &gt; 1 )</f>
        <v>0</v>
      </c>
      <c r="L99" s="17"/>
      <c r="M99" s="17"/>
      <c r="N99" s="17"/>
      <c r="O99" s="17"/>
    </row>
    <row r="100" spans="2:15" ht="22.5" x14ac:dyDescent="0.25">
      <c r="B100" s="9">
        <f xml:space="preserve"> ROW( co_variants[[#This Row],[row_id]] ) - ROW( co_variants[[#Headers],[row_id]] )</f>
        <v>24</v>
      </c>
      <c r="C100" s="19" t="s">
        <v>221</v>
      </c>
      <c r="D100" s="74" t="s">
        <v>779</v>
      </c>
      <c r="E100" s="147" t="s">
        <v>230</v>
      </c>
      <c r="F100" s="147" t="s">
        <v>88</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0</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25</v>
      </c>
      <c r="C101" s="19" t="s">
        <v>84</v>
      </c>
      <c r="D101" s="74" t="s">
        <v>201</v>
      </c>
      <c r="E101" s="146" t="s">
        <v>927</v>
      </c>
      <c r="F101" s="147" t="s">
        <v>201</v>
      </c>
      <c r="G101" s="77">
        <v>1</v>
      </c>
      <c r="H101" s="77">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8">
        <f xml:space="preserve"> ROW( co_variants[[#This Row],[row_id]] ) - ROW( co_variants[[#Headers],[row_id]] )</f>
        <v>26</v>
      </c>
      <c r="C102" s="19" t="s">
        <v>34</v>
      </c>
      <c r="D102" s="74" t="s">
        <v>201</v>
      </c>
      <c r="E102" s="146" t="s">
        <v>927</v>
      </c>
      <c r="F102" s="147" t="s">
        <v>201</v>
      </c>
      <c r="G102" s="75">
        <v>1</v>
      </c>
      <c r="H102" s="75">
        <v>1</v>
      </c>
      <c r="I102" s="107" t="str">
        <f xml:space="preserve"> INDEX( co_impactTypes[damageAdjName], MATCH( co_variants[[#This Row],[sector_id]], co_impactTypes[sector_id], 0 ) ) &amp;
   IF( co_variants[[#This Row],[sector_id]] = "Roads", IF( co_variants[[#This Row],[variant_id_excel]] = "Proactive", "_proactive", "_other" ), "" )</f>
        <v>none</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9">
        <f xml:space="preserve"> ROW( co_variants[[#This Row],[row_id]] ) - ROW( co_variants[[#Headers],[row_id]] )</f>
        <v>27</v>
      </c>
      <c r="C103" s="19" t="s">
        <v>223</v>
      </c>
      <c r="D103" s="74" t="s">
        <v>201</v>
      </c>
      <c r="E103" s="146" t="s">
        <v>927</v>
      </c>
      <c r="F103" s="147" t="s">
        <v>201</v>
      </c>
      <c r="G103" s="130">
        <v>1</v>
      </c>
      <c r="H103" s="130">
        <v>1</v>
      </c>
      <c r="I103" s="108" t="str">
        <f xml:space="preserve"> INDEX( co_impactTypes[damageAdjName], MATCH( co_variants[[#This Row],[sector_id]], co_impactTypes[sector_id], 0 ) ) &amp;
   IF( co_variants[[#This Row],[sector_id]] = "Roads", IF( co_variants[[#This Row],[variant_id_excel]] = "Proactive", "_proactive", "_other" ), "" )</f>
        <v>none</v>
      </c>
      <c r="J103" s="86"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9">
        <f xml:space="preserve"> ROW( co_variants[[#This Row],[row_id]] ) - ROW( co_variants[[#Headers],[row_id]] )</f>
        <v>28</v>
      </c>
      <c r="C104" s="19" t="s">
        <v>209</v>
      </c>
      <c r="D104" s="74" t="s">
        <v>776</v>
      </c>
      <c r="E104" s="146" t="s">
        <v>87</v>
      </c>
      <c r="F104" s="147" t="s">
        <v>776</v>
      </c>
      <c r="G104" s="75">
        <v>0</v>
      </c>
      <c r="H104" s="75">
        <v>0</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8">
        <f xml:space="preserve"> ROW( co_variants[[#This Row],[row_id]] ) - ROW( co_variants[[#Headers],[row_id]] )</f>
        <v>29</v>
      </c>
      <c r="C105" s="19" t="s">
        <v>209</v>
      </c>
      <c r="D105" s="74" t="s">
        <v>777</v>
      </c>
      <c r="E105" s="147" t="s">
        <v>208</v>
      </c>
      <c r="F105" s="147" t="s">
        <v>208</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rail_growth_factor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30</v>
      </c>
      <c r="C106" s="19" t="s">
        <v>209</v>
      </c>
      <c r="D106" s="74" t="s">
        <v>778</v>
      </c>
      <c r="E106" s="147" t="s">
        <v>88</v>
      </c>
      <c r="F106" s="147" t="s">
        <v>88</v>
      </c>
      <c r="G106" s="75">
        <v>1</v>
      </c>
      <c r="H106" s="75">
        <v>1</v>
      </c>
      <c r="I106" s="107" t="str">
        <f xml:space="preserve"> INDEX( co_impactTypes[damageAdjName], MATCH( co_variants[[#This Row],[sector_id]], co_impactTypes[sector_id], 0 ) ) &amp;
   IF( co_variants[[#This Row],[sector_id]] = "Roads", IF( co_variants[[#This Row],[variant_id_excel]] = "Proactive", "_proactive", "_other" ), "" )</f>
        <v>rail_growth_factor</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9">
        <f xml:space="preserve"> ROW( co_variants[[#This Row],[row_id]] ) - ROW( co_variants[[#Headers],[row_id]] )</f>
        <v>31</v>
      </c>
      <c r="C107" s="19" t="s">
        <v>216</v>
      </c>
      <c r="D107" s="74" t="s">
        <v>776</v>
      </c>
      <c r="E107" s="146" t="s">
        <v>87</v>
      </c>
      <c r="F107" s="147" t="s">
        <v>889</v>
      </c>
      <c r="G107" s="75">
        <v>0</v>
      </c>
      <c r="H107" s="75">
        <v>0</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8">
        <f xml:space="preserve"> ROW( co_variants[[#This Row],[row_id]] ) - ROW( co_variants[[#Headers],[row_id]] )</f>
        <v>32</v>
      </c>
      <c r="C108" s="19" t="s">
        <v>216</v>
      </c>
      <c r="D108" s="74" t="s">
        <v>777</v>
      </c>
      <c r="E108" s="147" t="s">
        <v>208</v>
      </c>
      <c r="F108" s="147" t="s">
        <v>208</v>
      </c>
      <c r="G108" s="75">
        <v>0</v>
      </c>
      <c r="H108" s="75">
        <v>0</v>
      </c>
      <c r="I108"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0</v>
      </c>
      <c r="L108" s="17"/>
      <c r="M108" s="17"/>
      <c r="N108" s="17"/>
      <c r="O108" s="17"/>
    </row>
    <row r="109" spans="2:15" ht="15" x14ac:dyDescent="0.25">
      <c r="B109" s="8">
        <f xml:space="preserve"> ROW( co_variants[[#This Row],[row_id]] ) - ROW( co_variants[[#Headers],[row_id]] )</f>
        <v>33</v>
      </c>
      <c r="C109" s="19" t="s">
        <v>216</v>
      </c>
      <c r="D109" s="74" t="s">
        <v>778</v>
      </c>
      <c r="E109" s="147" t="s">
        <v>88</v>
      </c>
      <c r="F109" s="147" t="s">
        <v>88</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road_miles_and_pop_other</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34</v>
      </c>
      <c r="C110" s="19" t="s">
        <v>85</v>
      </c>
      <c r="D110" s="74" t="s">
        <v>201</v>
      </c>
      <c r="E110" s="146" t="s">
        <v>927</v>
      </c>
      <c r="F110" s="147" t="s">
        <v>201</v>
      </c>
      <c r="G110" s="75">
        <v>1</v>
      </c>
      <c r="H110" s="75">
        <v>1</v>
      </c>
      <c r="I110" s="107" t="str">
        <f xml:space="preserve"> INDEX( co_impactTypes[damageAdjName], MATCH( co_variants[[#This Row],[sector_id]], co_impactTypes[sector_id], 0 ) ) &amp;
   IF( co_variants[[#This Row],[sector_id]] = "Roads", IF( co_variants[[#This Row],[variant_id_excel]] = "Proactive", "_proactive", "_other" ), "" )</f>
        <v>none</v>
      </c>
      <c r="J110" s="83"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35</v>
      </c>
      <c r="C111" s="19" t="s">
        <v>225</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36</v>
      </c>
      <c r="C112" s="19" t="s">
        <v>983</v>
      </c>
      <c r="D112" s="74" t="s">
        <v>201</v>
      </c>
      <c r="E112" s="146" t="s">
        <v>927</v>
      </c>
      <c r="F112" s="147" t="s">
        <v>201</v>
      </c>
      <c r="G112" s="77">
        <v>1</v>
      </c>
      <c r="H112" s="77">
        <v>1</v>
      </c>
      <c r="I112" s="108" t="str">
        <f xml:space="preserve"> INDEX( co_impactTypes[damageAdjName], MATCH( co_variants[[#This Row],[sector_id]], co_impactTypes[sector_id], 0 ) ) &amp;
   IF( co_variants[[#This Row],[sector_id]] = "Roads", IF( co_variants[[#This Row],[variant_id_excel]] = "Proactive", "_proactive", "_other" ), "" )</f>
        <v>none</v>
      </c>
      <c r="J112" s="86"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37</v>
      </c>
      <c r="C113" s="19" t="s">
        <v>1303</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6" cm="1">
        <f t="array" ref="K113" xml:space="preserve"> --( SUMPRODUCT( --( co_impactTypes[sector_id] = co_variants[[#This Row],[sector_id]] ) ) &gt; 1 )</f>
        <v>1</v>
      </c>
      <c r="L113" s="17"/>
      <c r="M113" s="17"/>
      <c r="N113" s="17"/>
      <c r="O113" s="17"/>
    </row>
    <row r="114" spans="1:21" ht="15" x14ac:dyDescent="0.25">
      <c r="B114" s="9">
        <f xml:space="preserve"> ROW( co_variants[[#This Row],[row_id]] ) - ROW( co_variants[[#Headers],[row_id]] )</f>
        <v>38</v>
      </c>
      <c r="C114" s="19" t="s">
        <v>227</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0</v>
      </c>
      <c r="L114" s="17"/>
      <c r="M114" s="17"/>
      <c r="N114" s="17"/>
      <c r="O114" s="17"/>
    </row>
    <row r="115" spans="1:21" ht="15" x14ac:dyDescent="0.25">
      <c r="B115" s="9">
        <f xml:space="preserve"> ROW( co_variants[[#This Row],[row_id]] ) - ROW( co_variants[[#Headers],[row_id]] )</f>
        <v>39</v>
      </c>
      <c r="C115" s="19" t="s">
        <v>761</v>
      </c>
      <c r="D115" s="74" t="s">
        <v>201</v>
      </c>
      <c r="E115" s="146" t="s">
        <v>927</v>
      </c>
      <c r="F115" s="147" t="s">
        <v>201</v>
      </c>
      <c r="G115" s="75">
        <v>1</v>
      </c>
      <c r="H115" s="75">
        <v>1</v>
      </c>
      <c r="I115" s="107" t="str">
        <f xml:space="preserve"> INDEX( co_impactTypes[damageAdjName], MATCH( co_variants[[#This Row],[sector_id]], co_impactTypes[sector_id], 0 ) ) &amp;
   IF( co_variants[[#This Row],[sector_id]] = "Roads", IF( co_variants[[#This Row],[variant_id_excel]] = "Proactive", "_proactive", "_other" ), "" )</f>
        <v>none</v>
      </c>
      <c r="J115" s="83" cm="1">
        <f t="array" ref="J115" xml:space="preserve"> --( SUMPRODUCT( --( co_variants[[#This Row],[sector_id]] = data_scaledImpacts[sector] ), --( co_variants[[#This Row],[variant_id_excel]] = data_scaledImpacts[variant] ) ) &gt; 1 )</f>
        <v>1</v>
      </c>
      <c r="K115" s="83" cm="1">
        <f t="array" ref="K115" xml:space="preserve"> --( SUMPRODUCT( --( co_impactTypes[sector_id] = co_variants[[#This Row],[sector_id]] ) ) &gt; 1 )</f>
        <v>1</v>
      </c>
      <c r="L115" s="17"/>
      <c r="M115" s="17"/>
      <c r="N115" s="17"/>
      <c r="O115" s="17"/>
    </row>
    <row r="116" spans="1:21" ht="15" x14ac:dyDescent="0.25">
      <c r="B116" s="9">
        <f xml:space="preserve"> ROW( co_variants[[#This Row],[row_id]] ) - ROW( co_variants[[#Headers],[row_id]] )</f>
        <v>40</v>
      </c>
      <c r="C116" s="19" t="s">
        <v>1088</v>
      </c>
      <c r="D116" s="74" t="s">
        <v>201</v>
      </c>
      <c r="E116" s="146" t="s">
        <v>927</v>
      </c>
      <c r="F116" s="147" t="s">
        <v>201</v>
      </c>
      <c r="G116" s="130">
        <v>1</v>
      </c>
      <c r="H116" s="130">
        <v>1</v>
      </c>
      <c r="I116" s="108" t="str">
        <f xml:space="preserve"> INDEX( co_impactTypes[damageAdjName], MATCH( co_variants[[#This Row],[sector_id]], co_impactTypes[sector_id], 0 ) ) &amp;
   IF( co_variants[[#This Row],[sector_id]] = "Roads", IF( co_variants[[#This Row],[variant_id_excel]] = "Proactive", "_proactive", "_other" ), "" )</f>
        <v>none</v>
      </c>
      <c r="J116" s="86" cm="1">
        <f t="array" ref="J116" xml:space="preserve"> --( SUMPRODUCT( --( co_variants[[#This Row],[sector_id]] = data_scaledImpacts[sector] ), --( co_variants[[#This Row],[variant_id_excel]] = data_scaledImpacts[variant] ) ) &gt; 1 )</f>
        <v>1</v>
      </c>
      <c r="K116" s="83" cm="1">
        <f t="array" ref="K116" xml:space="preserve"> --( SUMPRODUCT( --( co_impactTypes[sector_id] = co_variants[[#This Row],[sector_id]] ) ) &gt; 1 )</f>
        <v>0</v>
      </c>
      <c r="L116" s="17"/>
      <c r="M116" s="17"/>
      <c r="N116" s="17"/>
      <c r="O116" s="17"/>
    </row>
    <row r="117" spans="1:21" ht="15" x14ac:dyDescent="0.25">
      <c r="B117" s="9">
        <f xml:space="preserve"> ROW( co_variants[[#This Row],[row_id]] ) - ROW( co_variants[[#Headers],[row_id]] )</f>
        <v>41</v>
      </c>
      <c r="C117" s="19" t="s">
        <v>89</v>
      </c>
      <c r="D117" s="74" t="s">
        <v>201</v>
      </c>
      <c r="E117" s="146" t="s">
        <v>927</v>
      </c>
      <c r="F117" s="147" t="s">
        <v>201</v>
      </c>
      <c r="G117" s="75">
        <v>1</v>
      </c>
      <c r="H117" s="75">
        <v>1</v>
      </c>
      <c r="I117" s="107" t="str">
        <f xml:space="preserve"> INDEX( co_impactTypes[damageAdjName], MATCH( co_variants[[#This Row],[sector_id]], co_impactTypes[sector_id], 0 ) ) &amp;
   IF( co_variants[[#This Row],[sector_id]] = "Roads", IF( co_variants[[#This Row],[variant_id_excel]] = "Proactive", "_proactive", "_other" ), "" )</f>
        <v>none</v>
      </c>
      <c r="J117" s="83" cm="1">
        <f t="array" ref="J117" xml:space="preserve"> --( SUMPRODUCT( --( co_variants[[#This Row],[sector_id]] = data_scaledImpacts[sector] ), --( co_variants[[#This Row],[variant_id_excel]] = data_scaledImpacts[variant] ) ) &gt; 1 )</f>
        <v>1</v>
      </c>
      <c r="K117" s="83" cm="1">
        <f t="array" ref="K117" xml:space="preserve"> --( SUMPRODUCT( --( co_impactTypes[sector_id] = co_variants[[#This Row],[sector_id]] ) ) &gt; 1 )</f>
        <v>1</v>
      </c>
      <c r="L117" s="17"/>
      <c r="M117" s="17"/>
      <c r="N117" s="17"/>
      <c r="O117" s="17"/>
    </row>
    <row r="119" spans="1:21" ht="15" x14ac:dyDescent="0.25">
      <c r="A119" s="63"/>
      <c r="B119" s="64" t="s">
        <v>200</v>
      </c>
      <c r="C119" s="64"/>
      <c r="D119" s="64"/>
      <c r="E119" s="64"/>
      <c r="F119" s="64"/>
      <c r="G119" s="64"/>
      <c r="H119" s="64"/>
      <c r="I119" s="64"/>
      <c r="J119" s="64"/>
      <c r="K119" s="64"/>
      <c r="L119" s="64"/>
      <c r="M119" s="64"/>
      <c r="N119" s="64"/>
      <c r="O119" s="64"/>
      <c r="P119" s="64"/>
      <c r="Q119" s="64"/>
      <c r="R119" s="64"/>
      <c r="S119" s="64"/>
      <c r="T119" s="64"/>
      <c r="U119" s="64"/>
    </row>
    <row r="120" spans="1:21" x14ac:dyDescent="0.2">
      <c r="B120" s="6" t="s">
        <v>1222</v>
      </c>
    </row>
    <row r="121" spans="1:21" x14ac:dyDescent="0.2">
      <c r="B121" s="78" t="s">
        <v>780</v>
      </c>
      <c r="C121" s="78" t="s">
        <v>219</v>
      </c>
      <c r="D121" s="78" t="s">
        <v>931</v>
      </c>
      <c r="E121" s="79" t="s">
        <v>932</v>
      </c>
      <c r="F121" s="78" t="s">
        <v>935</v>
      </c>
      <c r="G121" s="78" t="s">
        <v>933</v>
      </c>
      <c r="H121" s="78" t="s">
        <v>1019</v>
      </c>
      <c r="I121" s="78" t="s">
        <v>792</v>
      </c>
      <c r="J121" s="78" t="s">
        <v>794</v>
      </c>
      <c r="K121" s="78" t="s">
        <v>796</v>
      </c>
      <c r="L121" s="78" t="s">
        <v>262</v>
      </c>
      <c r="M121" s="78" t="s">
        <v>917</v>
      </c>
      <c r="N121" s="80" t="s">
        <v>763</v>
      </c>
      <c r="O121" s="80" t="s">
        <v>764</v>
      </c>
      <c r="P121" s="80" t="s">
        <v>765</v>
      </c>
      <c r="Q121" s="80" t="s">
        <v>766</v>
      </c>
      <c r="R121" s="80" t="s">
        <v>919</v>
      </c>
      <c r="S121" s="80" t="s">
        <v>1012</v>
      </c>
      <c r="T121" s="80" t="s">
        <v>1013</v>
      </c>
      <c r="U121" s="80" t="s">
        <v>1014</v>
      </c>
    </row>
    <row r="122" spans="1:21" x14ac:dyDescent="0.2">
      <c r="B122" s="9">
        <f xml:space="preserve"> ROW( co_impactTypes[[#This Row],[row_id]] ) - ROW(co_impactTypes[[#Headers],[row_id]] )</f>
        <v>1</v>
      </c>
      <c r="C122" s="19" t="s">
        <v>559</v>
      </c>
      <c r="D122" s="76" t="s">
        <v>800</v>
      </c>
      <c r="E122" s="146" t="s">
        <v>560</v>
      </c>
      <c r="F122" s="150" t="s">
        <v>560</v>
      </c>
      <c r="G122" s="81" t="s">
        <v>800</v>
      </c>
      <c r="H122" s="76" t="s">
        <v>1020</v>
      </c>
      <c r="I122" s="76" t="s">
        <v>251</v>
      </c>
      <c r="J122" s="76" t="s">
        <v>256</v>
      </c>
      <c r="K122" s="76" t="s">
        <v>256</v>
      </c>
      <c r="L122" s="76" t="s">
        <v>786</v>
      </c>
      <c r="M122" s="76" t="s">
        <v>257</v>
      </c>
      <c r="N122" s="75">
        <v>0</v>
      </c>
      <c r="O122" s="75">
        <v>1</v>
      </c>
      <c r="P122" s="75">
        <v>0.4</v>
      </c>
      <c r="Q122" s="82">
        <f xml:space="preserve"> IF(co_impactTypes[[#This Row],[econMultiplierName]]="None", "N/A", 2010)</f>
        <v>2010</v>
      </c>
      <c r="R122" s="83"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3" cm="1">
        <f t="array" ref="S122" xml:space="preserve"> IF( co_impactTypes[[#This Row],[damageAdjName]] = "none", 1, --( SUMPRODUCT( --IF( ISERROR( FIND( co_impactTypes[[#This Row],[damageAdjName]], scalarDataframe[scalarName] ) ), 0, 1 ), --( "damageAdj" = scalarDataframe[scalarType] ) ) &gt;= 1 ) )</f>
        <v>1</v>
      </c>
      <c r="T122" s="83" cm="1">
        <f t="array" ref="T122" xml:space="preserve"> IF( co_impactTypes[[#This Row],[econScalarName]] = "none", 1, --( SUMPRODUCT( --IF( ISERROR( FIND( co_impactTypes[[#This Row],[econScalarName]], scalarDataframe[scalarName] ) ), 0, 1 ), --( "econScalar" = scalarDataframe[scalarType] ) ) &gt;= 1 ) )</f>
        <v>1</v>
      </c>
      <c r="U122" s="83"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2</v>
      </c>
      <c r="C123" s="19" t="s">
        <v>559</v>
      </c>
      <c r="D123" s="76" t="s">
        <v>801</v>
      </c>
      <c r="E123" s="146" t="s">
        <v>659</v>
      </c>
      <c r="F123" s="150" t="s">
        <v>659</v>
      </c>
      <c r="G123" s="81" t="s">
        <v>801</v>
      </c>
      <c r="H123" s="76" t="s">
        <v>1020</v>
      </c>
      <c r="I123" s="76" t="s">
        <v>251</v>
      </c>
      <c r="J123" s="76" t="s">
        <v>256</v>
      </c>
      <c r="K123" s="76" t="s">
        <v>256</v>
      </c>
      <c r="L123" s="76" t="s">
        <v>786</v>
      </c>
      <c r="M123" s="76" t="s">
        <v>257</v>
      </c>
      <c r="N123" s="75">
        <v>0</v>
      </c>
      <c r="O123" s="75">
        <v>1</v>
      </c>
      <c r="P123" s="75">
        <v>0.4</v>
      </c>
      <c r="Q123" s="82">
        <f xml:space="preserve"> IF(co_impactTypes[[#This Row],[econMultiplierName]]="None", "N/A", 2010)</f>
        <v>2010</v>
      </c>
      <c r="R123" s="83"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3" cm="1">
        <f t="array" ref="S123" xml:space="preserve"> IF( co_impactTypes[[#This Row],[damageAdjName]] = "none", 1, --( SUMPRODUCT( --IF( ISERROR( FIND( co_impactTypes[[#This Row],[damageAdjName]], scalarDataframe[scalarName] ) ), 0, 1 ), --( "damageAdj" = scalarDataframe[scalarType] ) ) &gt;= 1 ) )</f>
        <v>1</v>
      </c>
      <c r="T123" s="83" cm="1">
        <f t="array" ref="T123" xml:space="preserve"> IF( co_impactTypes[[#This Row],[econScalarName]] = "none", 1, --( SUMPRODUCT( --IF( ISERROR( FIND( co_impactTypes[[#This Row],[econScalarName]], scalarDataframe[scalarName] ) ), 0, 1 ), --( "econScalar" = scalarDataframe[scalarType] ) ) &gt;= 1 ) )</f>
        <v>1</v>
      </c>
      <c r="U123" s="83"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3</v>
      </c>
      <c r="C124" s="20" t="s">
        <v>1005</v>
      </c>
      <c r="D124" s="76" t="s">
        <v>201</v>
      </c>
      <c r="E124" s="146" t="s">
        <v>927</v>
      </c>
      <c r="F124" s="150"/>
      <c r="G124" s="81" t="s">
        <v>1006</v>
      </c>
      <c r="H124" s="76"/>
      <c r="I124" s="76" t="s">
        <v>1009</v>
      </c>
      <c r="J124" s="76" t="s">
        <v>256</v>
      </c>
      <c r="K124" s="76"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3" cm="1">
        <f t="array" ref="S124" xml:space="preserve"> IF( co_impactTypes[[#This Row],[damageAdjName]] = "none", 1, --( SUMPRODUCT( --IF( ISERROR( FIND( co_impactTypes[[#This Row],[damageAdjName]], scalarDataframe[scalarName] ) ), 0, 1 ), --( "damageAdj" = scalarDataframe[scalarType] ) ) &gt;= 1 ) )</f>
        <v>1</v>
      </c>
      <c r="T124" s="83" cm="1">
        <f t="array" ref="T124" xml:space="preserve"> IF( co_impactTypes[[#This Row],[econScalarName]] = "none", 1, --( SUMPRODUCT( --IF( ISERROR( FIND( co_impactTypes[[#This Row],[econScalarName]], scalarDataframe[scalarName] ) ), 0, 1 ), --( "econScalar" = scalarDataframe[scalarType] ) ) &gt;= 1 ) )</f>
        <v>1</v>
      </c>
      <c r="U124" s="83"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4</v>
      </c>
      <c r="C125" s="19" t="s">
        <v>1247</v>
      </c>
      <c r="D125" s="76" t="s">
        <v>201</v>
      </c>
      <c r="E125" s="146" t="s">
        <v>927</v>
      </c>
      <c r="F125" s="150"/>
      <c r="G125" s="81" t="s">
        <v>1265</v>
      </c>
      <c r="H125" s="76" t="s">
        <v>1020</v>
      </c>
      <c r="I125" s="76" t="s">
        <v>251</v>
      </c>
      <c r="J125" s="76" t="s">
        <v>256</v>
      </c>
      <c r="K125" s="76" t="s">
        <v>256</v>
      </c>
      <c r="L125" s="76" t="s">
        <v>786</v>
      </c>
      <c r="M125" s="76" t="s">
        <v>257</v>
      </c>
      <c r="N125" s="75">
        <v>0</v>
      </c>
      <c r="O125" s="75">
        <v>1</v>
      </c>
      <c r="P125" s="75">
        <v>0.4</v>
      </c>
      <c r="Q125" s="85">
        <f xml:space="preserve"> IF(co_impactTypes[[#This Row],[econMultiplierName]]="None", "N/A", 2010)</f>
        <v>2010</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5</v>
      </c>
      <c r="C126" s="20" t="s">
        <v>1229</v>
      </c>
      <c r="D126" s="76" t="s">
        <v>1166</v>
      </c>
      <c r="E126" s="76" t="s">
        <v>1166</v>
      </c>
      <c r="F126" s="76" t="s">
        <v>1166</v>
      </c>
      <c r="G126" s="81" t="s">
        <v>1170</v>
      </c>
      <c r="H126" s="76"/>
      <c r="I126" s="76" t="s">
        <v>256</v>
      </c>
      <c r="J126" s="76" t="s">
        <v>256</v>
      </c>
      <c r="K126" s="76" t="s">
        <v>256</v>
      </c>
      <c r="L126" s="76" t="s">
        <v>256</v>
      </c>
      <c r="M126" s="84"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6</v>
      </c>
      <c r="C127" s="20" t="s">
        <v>1229</v>
      </c>
      <c r="D127" s="76" t="s">
        <v>1167</v>
      </c>
      <c r="E127" s="76" t="s">
        <v>1167</v>
      </c>
      <c r="F127" s="76" t="s">
        <v>1167</v>
      </c>
      <c r="G127" s="81" t="s">
        <v>1170</v>
      </c>
      <c r="H127" s="76"/>
      <c r="I127" s="76" t="s">
        <v>256</v>
      </c>
      <c r="J127" s="167" t="s">
        <v>256</v>
      </c>
      <c r="K127" s="167" t="s">
        <v>256</v>
      </c>
      <c r="L127" s="76" t="s">
        <v>256</v>
      </c>
      <c r="M127" s="84"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7</v>
      </c>
      <c r="C128" s="20" t="s">
        <v>1229</v>
      </c>
      <c r="D128" s="76" t="s">
        <v>1168</v>
      </c>
      <c r="E128" s="76" t="s">
        <v>1168</v>
      </c>
      <c r="F128" s="76" t="s">
        <v>1168</v>
      </c>
      <c r="G128" s="81" t="s">
        <v>1170</v>
      </c>
      <c r="H128" s="76"/>
      <c r="I128" s="76" t="s">
        <v>256</v>
      </c>
      <c r="J128" s="76" t="s">
        <v>256</v>
      </c>
      <c r="K128" s="76" t="s">
        <v>256</v>
      </c>
      <c r="L128" s="76" t="s">
        <v>256</v>
      </c>
      <c r="M128" s="84"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8</v>
      </c>
      <c r="C129" s="20" t="s">
        <v>1229</v>
      </c>
      <c r="D129" s="76" t="s">
        <v>1169</v>
      </c>
      <c r="E129" s="76" t="s">
        <v>1169</v>
      </c>
      <c r="F129" s="76" t="s">
        <v>1169</v>
      </c>
      <c r="G129" s="81" t="s">
        <v>1170</v>
      </c>
      <c r="H129" s="76"/>
      <c r="I129" s="76" t="s">
        <v>256</v>
      </c>
      <c r="J129" s="76" t="s">
        <v>256</v>
      </c>
      <c r="K129" s="76" t="s">
        <v>256</v>
      </c>
      <c r="L129" s="76" t="s">
        <v>256</v>
      </c>
      <c r="M129" s="76" t="s">
        <v>256</v>
      </c>
      <c r="N129" s="75">
        <v>0</v>
      </c>
      <c r="O129" s="75">
        <v>1</v>
      </c>
      <c r="P129" s="75">
        <v>1</v>
      </c>
      <c r="Q129" s="85" t="str">
        <f xml:space="preserve"> IF(co_impactTypes[[#This Row],[econMultiplierName]]="None", "N/A", 2010)</f>
        <v>N/A</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9</v>
      </c>
      <c r="C130" s="20" t="s">
        <v>1230</v>
      </c>
      <c r="D130" s="76" t="s">
        <v>1223</v>
      </c>
      <c r="E130" s="81" t="s">
        <v>1223</v>
      </c>
      <c r="F130" s="150" t="s">
        <v>1223</v>
      </c>
      <c r="G130" s="81" t="s">
        <v>1233</v>
      </c>
      <c r="H130" s="76" t="s">
        <v>1234</v>
      </c>
      <c r="I130" s="76" t="s">
        <v>256</v>
      </c>
      <c r="J130" s="76" t="s">
        <v>256</v>
      </c>
      <c r="K130" s="76" t="s">
        <v>256</v>
      </c>
      <c r="L130" s="76" t="s">
        <v>1225</v>
      </c>
      <c r="M130" s="76" t="s">
        <v>256</v>
      </c>
      <c r="N130" s="75">
        <v>0</v>
      </c>
      <c r="O130" s="75">
        <v>1</v>
      </c>
      <c r="P130" s="75">
        <v>1</v>
      </c>
      <c r="Q130" s="85" t="str">
        <f xml:space="preserve"> IF(co_impactTypes[[#This Row],[econMultiplierName]]="None", "N/A", 2010)</f>
        <v>N/A</v>
      </c>
      <c r="R130" s="86"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6" cm="1">
        <f t="array" ref="S130" xml:space="preserve"> IF( co_impactTypes[[#This Row],[damageAdjName]] = "none", 1, --( SUMPRODUCT( --IF( ISERROR( FIND( co_impactTypes[[#This Row],[damageAdjName]], scalarDataframe[scalarName] ) ), 0, 1 ), --( "damageAdj" = scalarDataframe[scalarType] ) ) &gt;= 1 ) )</f>
        <v>1</v>
      </c>
      <c r="T130" s="86" cm="1">
        <f t="array" ref="T130" xml:space="preserve"> IF( co_impactTypes[[#This Row],[econScalarName]] = "none", 1, --( SUMPRODUCT( --IF( ISERROR( FIND( co_impactTypes[[#This Row],[econScalarName]], scalarDataframe[scalarName] ) ), 0, 1 ), --( "econScalar" = scalarDataframe[scalarType] ) ) &gt;= 1 ) )</f>
        <v>1</v>
      </c>
      <c r="U130" s="86"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10</v>
      </c>
      <c r="C131" s="20" t="s">
        <v>1230</v>
      </c>
      <c r="D131" s="76" t="s">
        <v>1224</v>
      </c>
      <c r="E131" s="81" t="s">
        <v>1224</v>
      </c>
      <c r="F131" s="150" t="s">
        <v>1224</v>
      </c>
      <c r="G131" s="81" t="s">
        <v>1233</v>
      </c>
      <c r="H131" s="76" t="s">
        <v>1234</v>
      </c>
      <c r="I131" s="76" t="s">
        <v>256</v>
      </c>
      <c r="J131" s="76" t="s">
        <v>256</v>
      </c>
      <c r="K131" s="76" t="s">
        <v>256</v>
      </c>
      <c r="L131" s="76" t="s">
        <v>1227</v>
      </c>
      <c r="M131" s="76" t="s">
        <v>256</v>
      </c>
      <c r="N131" s="75">
        <v>0</v>
      </c>
      <c r="O131" s="75">
        <v>1</v>
      </c>
      <c r="P131" s="75">
        <v>1</v>
      </c>
      <c r="Q131" s="85" t="str">
        <f xml:space="preserve"> IF(co_impactTypes[[#This Row],[econMultiplierName]]="None", "N/A", 2010)</f>
        <v>N/A</v>
      </c>
      <c r="R131" s="86"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6" cm="1">
        <f t="array" ref="S131" xml:space="preserve"> IF( co_impactTypes[[#This Row],[damageAdjName]] = "none", 1, --( SUMPRODUCT( --IF( ISERROR( FIND( co_impactTypes[[#This Row],[damageAdjName]], scalarDataframe[scalarName] ) ), 0, 1 ), --( "damageAdj" = scalarDataframe[scalarType] ) ) &gt;= 1 ) )</f>
        <v>1</v>
      </c>
      <c r="T131" s="86" cm="1">
        <f t="array" ref="T131" xml:space="preserve"> IF( co_impactTypes[[#This Row],[econScalarName]] = "none", 1, --( SUMPRODUCT( --IF( ISERROR( FIND( co_impactTypes[[#This Row],[econScalarName]], scalarDataframe[scalarName] ) ), 0, 1 ), --( "econScalar" = scalarDataframe[scalarType] ) ) &gt;= 1 ) )</f>
        <v>1</v>
      </c>
      <c r="U131" s="86"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11</v>
      </c>
      <c r="C132" s="20" t="s">
        <v>1159</v>
      </c>
      <c r="D132" s="76" t="s">
        <v>201</v>
      </c>
      <c r="E132" s="146" t="s">
        <v>927</v>
      </c>
      <c r="F132" s="150"/>
      <c r="G132" s="81" t="s">
        <v>768</v>
      </c>
      <c r="H132" s="76" t="s">
        <v>1020</v>
      </c>
      <c r="I132" s="76" t="s">
        <v>251</v>
      </c>
      <c r="J132" s="76" t="s">
        <v>256</v>
      </c>
      <c r="K132" s="76" t="s">
        <v>256</v>
      </c>
      <c r="L132" s="76" t="s">
        <v>786</v>
      </c>
      <c r="M132" s="84" t="s">
        <v>257</v>
      </c>
      <c r="N132" s="75">
        <v>0</v>
      </c>
      <c r="O132" s="75">
        <v>1</v>
      </c>
      <c r="P132" s="75">
        <v>0.4</v>
      </c>
      <c r="Q132" s="85">
        <f xml:space="preserve"> IF(co_impactTypes[[#This Row],[econMultiplierName]]="None", "N/A", 2010)</f>
        <v>2010</v>
      </c>
      <c r="R132" s="86"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6" cm="1">
        <f t="array" ref="S132" xml:space="preserve"> IF( co_impactTypes[[#This Row],[damageAdjName]] = "none", 1, --( SUMPRODUCT( --IF( ISERROR( FIND( co_impactTypes[[#This Row],[damageAdjName]], scalarDataframe[scalarName] ) ), 0, 1 ), --( "damageAdj" = scalarDataframe[scalarType] ) ) &gt;= 1 ) )</f>
        <v>1</v>
      </c>
      <c r="T132" s="86" cm="1">
        <f t="array" ref="T132" xml:space="preserve"> IF( co_impactTypes[[#This Row],[econScalarName]] = "none", 1, --( SUMPRODUCT( --IF( ISERROR( FIND( co_impactTypes[[#This Row],[econScalarName]], scalarDataframe[scalarName] ) ), 0, 1 ), --( "econScalar" = scalarDataframe[scalarType] ) ) &gt;= 1 ) )</f>
        <v>1</v>
      </c>
      <c r="U132" s="86"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12</v>
      </c>
      <c r="C133" s="20" t="s">
        <v>86</v>
      </c>
      <c r="D133" s="76" t="s">
        <v>201</v>
      </c>
      <c r="E133" s="146" t="s">
        <v>927</v>
      </c>
      <c r="F133" s="146" t="s">
        <v>927</v>
      </c>
      <c r="G133" s="81" t="s">
        <v>803</v>
      </c>
      <c r="H133" s="76"/>
      <c r="I133" s="76" t="s">
        <v>256</v>
      </c>
      <c r="J133" s="76" t="s">
        <v>256</v>
      </c>
      <c r="K133" s="76" t="s">
        <v>256</v>
      </c>
      <c r="L133" s="76" t="s">
        <v>256</v>
      </c>
      <c r="M133" s="76" t="s">
        <v>256</v>
      </c>
      <c r="N133" s="75">
        <v>0</v>
      </c>
      <c r="O133" s="75">
        <v>1</v>
      </c>
      <c r="P133" s="75">
        <v>1</v>
      </c>
      <c r="Q133" s="82" t="str">
        <f xml:space="preserve"> IF(co_impactTypes[[#This Row],[econMultiplierName]]="None", "N/A", 2010)</f>
        <v>N/A</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33.75" x14ac:dyDescent="0.2">
      <c r="B134" s="9">
        <f xml:space="preserve"> ROW( co_impactTypes[[#This Row],[row_id]] ) - ROW(co_impactTypes[[#Headers],[row_id]] )</f>
        <v>13</v>
      </c>
      <c r="C134" s="20" t="s">
        <v>220</v>
      </c>
      <c r="D134" s="76" t="s">
        <v>201</v>
      </c>
      <c r="E134" s="146" t="s">
        <v>927</v>
      </c>
      <c r="F134" s="150"/>
      <c r="G134" s="81" t="s">
        <v>996</v>
      </c>
      <c r="H134" s="76"/>
      <c r="I134" s="76" t="s">
        <v>256</v>
      </c>
      <c r="J134" s="76" t="s">
        <v>256</v>
      </c>
      <c r="K134" s="76" t="s">
        <v>261</v>
      </c>
      <c r="L134" s="76" t="s">
        <v>256</v>
      </c>
      <c r="M134" s="76" t="s">
        <v>256</v>
      </c>
      <c r="N134" s="75">
        <v>0</v>
      </c>
      <c r="O134" s="75">
        <v>1</v>
      </c>
      <c r="P134" s="75">
        <v>1</v>
      </c>
      <c r="Q134" s="82" t="str">
        <f xml:space="preserve"> IF(co_impactTypes[[#This Row],[econMultiplierName]]="None", "N/A", 2010)</f>
        <v>N/A</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22.5" x14ac:dyDescent="0.2">
      <c r="B135" s="9">
        <f xml:space="preserve"> ROW( co_impactTypes[[#This Row],[row_id]] ) - ROW(co_impactTypes[[#Headers],[row_id]] )</f>
        <v>14</v>
      </c>
      <c r="C135" s="20" t="s">
        <v>1002</v>
      </c>
      <c r="D135" s="76" t="s">
        <v>201</v>
      </c>
      <c r="E135" s="146" t="s">
        <v>927</v>
      </c>
      <c r="F135" s="150"/>
      <c r="G135" s="87" t="s">
        <v>981</v>
      </c>
      <c r="H135" s="88"/>
      <c r="I135" s="76" t="s">
        <v>256</v>
      </c>
      <c r="J135" s="166" t="s">
        <v>256</v>
      </c>
      <c r="K135" s="166" t="s">
        <v>1003</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8">
        <f xml:space="preserve"> ROW( co_impactTypes[[#This Row],[row_id]] ) - ROW(co_impactTypes[[#Headers],[row_id]] )</f>
        <v>15</v>
      </c>
      <c r="C136" s="19" t="s">
        <v>17</v>
      </c>
      <c r="D136" s="76" t="s">
        <v>203</v>
      </c>
      <c r="E136" s="146" t="s">
        <v>16</v>
      </c>
      <c r="F136" s="150" t="s">
        <v>16</v>
      </c>
      <c r="G136" s="81" t="s">
        <v>810</v>
      </c>
      <c r="H136" s="76" t="s">
        <v>1020</v>
      </c>
      <c r="I136" s="76" t="s">
        <v>251</v>
      </c>
      <c r="J136" s="76" t="s">
        <v>258</v>
      </c>
      <c r="K136" s="76" t="s">
        <v>256</v>
      </c>
      <c r="L136" s="76" t="s">
        <v>786</v>
      </c>
      <c r="M136" s="76" t="s">
        <v>257</v>
      </c>
      <c r="N136" s="75">
        <v>0</v>
      </c>
      <c r="O136" s="75">
        <v>1</v>
      </c>
      <c r="P136" s="75">
        <v>0.4</v>
      </c>
      <c r="Q136" s="82">
        <f xml:space="preserve"> IF(co_impactTypes[[#This Row],[econMultiplierName]]="None", "N/A", 2010)</f>
        <v>2010</v>
      </c>
      <c r="R136" s="83"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3" cm="1">
        <f t="array" ref="S136" xml:space="preserve"> IF( co_impactTypes[[#This Row],[damageAdjName]] = "none", 1, --( SUMPRODUCT( --IF( ISERROR( FIND( co_impactTypes[[#This Row],[damageAdjName]], scalarDataframe[scalarName] ) ), 0, 1 ), --( "damageAdj" = scalarDataframe[scalarType] ) ) &gt;= 1 ) )</f>
        <v>1</v>
      </c>
      <c r="T136" s="83" cm="1">
        <f t="array" ref="T136" xml:space="preserve"> IF( co_impactTypes[[#This Row],[econScalarName]] = "none", 1, --( SUMPRODUCT( --IF( ISERROR( FIND( co_impactTypes[[#This Row],[econScalarName]], scalarDataframe[scalarName] ) ), 0, 1 ), --( "econScalar" = scalarDataframe[scalarType] ) ) &gt;= 1 ) )</f>
        <v>1</v>
      </c>
      <c r="U136" s="83"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8">
        <f xml:space="preserve"> ROW( co_impactTypes[[#This Row],[row_id]] ) - ROW(co_impactTypes[[#Headers],[row_id]] )</f>
        <v>16</v>
      </c>
      <c r="C137" s="19" t="s">
        <v>17</v>
      </c>
      <c r="D137" s="76" t="s">
        <v>202</v>
      </c>
      <c r="E137" s="146" t="s">
        <v>14</v>
      </c>
      <c r="F137" s="150" t="s">
        <v>14</v>
      </c>
      <c r="G137" s="81" t="s">
        <v>811</v>
      </c>
      <c r="H137" s="76" t="s">
        <v>1020</v>
      </c>
      <c r="I137" s="76" t="s">
        <v>251</v>
      </c>
      <c r="J137" s="76" t="s">
        <v>258</v>
      </c>
      <c r="K137" s="76" t="s">
        <v>256</v>
      </c>
      <c r="L137" s="76" t="s">
        <v>786</v>
      </c>
      <c r="M137" s="76" t="s">
        <v>257</v>
      </c>
      <c r="N137" s="75">
        <v>0</v>
      </c>
      <c r="O137" s="75">
        <v>1</v>
      </c>
      <c r="P137" s="75">
        <v>0.4</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33.75" x14ac:dyDescent="0.2">
      <c r="B138" s="9">
        <f xml:space="preserve"> ROW( co_impactTypes[[#This Row],[row_id]] ) - ROW(co_impactTypes[[#Headers],[row_id]] )</f>
        <v>17</v>
      </c>
      <c r="C138" s="20" t="s">
        <v>221</v>
      </c>
      <c r="D138" s="76" t="s">
        <v>201</v>
      </c>
      <c r="E138" s="146" t="s">
        <v>927</v>
      </c>
      <c r="F138" s="146" t="s">
        <v>927</v>
      </c>
      <c r="G138" s="81" t="s">
        <v>224</v>
      </c>
      <c r="H138" s="76"/>
      <c r="I138" s="76" t="s">
        <v>256</v>
      </c>
      <c r="J138" s="76" t="s">
        <v>256</v>
      </c>
      <c r="K138" s="76" t="s">
        <v>256</v>
      </c>
      <c r="L138" s="76" t="s">
        <v>256</v>
      </c>
      <c r="M138" s="76" t="s">
        <v>256</v>
      </c>
      <c r="N138" s="75">
        <v>0</v>
      </c>
      <c r="O138" s="75">
        <v>1</v>
      </c>
      <c r="P138" s="75">
        <v>1</v>
      </c>
      <c r="Q138" s="82" t="str">
        <f xml:space="preserve"> IF(co_impactTypes[[#This Row],[econMultiplierName]]="None", "N/A", 2010)</f>
        <v>N/A</v>
      </c>
      <c r="R138" s="83"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3" cm="1">
        <f t="array" ref="S138" xml:space="preserve"> IF( co_impactTypes[[#This Row],[damageAdjName]] = "none", 1, --( SUMPRODUCT( --IF( ISERROR( FIND( co_impactTypes[[#This Row],[damageAdjName]], scalarDataframe[scalarName] ) ), 0, 1 ), --( "damageAdj" = scalarDataframe[scalarType] ) ) &gt;= 1 ) )</f>
        <v>1</v>
      </c>
      <c r="T138" s="83" cm="1">
        <f t="array" ref="T138" xml:space="preserve"> IF( co_impactTypes[[#This Row],[econScalarName]] = "none", 1, --( SUMPRODUCT( --IF( ISERROR( FIND( co_impactTypes[[#This Row],[econScalarName]], scalarDataframe[scalarName] ) ), 0, 1 ), --( "econScalar" = scalarDataframe[scalarType] ) ) &gt;= 1 ) )</f>
        <v>1</v>
      </c>
      <c r="U138" s="83"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2.5" x14ac:dyDescent="0.2">
      <c r="B139" s="9">
        <f xml:space="preserve"> ROW( co_impactTypes[[#This Row],[row_id]] ) - ROW(co_impactTypes[[#Headers],[row_id]] )</f>
        <v>18</v>
      </c>
      <c r="C139" s="20" t="s">
        <v>84</v>
      </c>
      <c r="D139" s="76" t="s">
        <v>201</v>
      </c>
      <c r="E139" s="146" t="s">
        <v>927</v>
      </c>
      <c r="F139" s="150"/>
      <c r="G139" s="81" t="s">
        <v>1086</v>
      </c>
      <c r="H139" s="76"/>
      <c r="I139" s="76" t="s">
        <v>256</v>
      </c>
      <c r="J139" s="76" t="s">
        <v>256</v>
      </c>
      <c r="K139" s="76" t="s">
        <v>256</v>
      </c>
      <c r="L139" s="76" t="s">
        <v>256</v>
      </c>
      <c r="M139" s="84" t="s">
        <v>256</v>
      </c>
      <c r="N139" s="75">
        <v>0</v>
      </c>
      <c r="O139" s="75">
        <v>1</v>
      </c>
      <c r="P139" s="75">
        <v>1</v>
      </c>
      <c r="Q139" s="85" t="str">
        <f xml:space="preserve"> IF(co_impactTypes[[#This Row],[econMultiplierName]]="None", "N/A", 2010)</f>
        <v>N/A</v>
      </c>
      <c r="R139" s="86"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6" cm="1">
        <f t="array" ref="S139" xml:space="preserve"> IF( co_impactTypes[[#This Row],[damageAdjName]] = "none", 1, --( SUMPRODUCT( --IF( ISERROR( FIND( co_impactTypes[[#This Row],[damageAdjName]], scalarDataframe[scalarName] ) ), 0, 1 ), --( "damageAdj" = scalarDataframe[scalarType] ) ) &gt;= 1 ) )</f>
        <v>1</v>
      </c>
      <c r="T139" s="86" cm="1">
        <f t="array" ref="T139" xml:space="preserve"> IF( co_impactTypes[[#This Row],[econScalarName]] = "none", 1, --( SUMPRODUCT( --IF( ISERROR( FIND( co_impactTypes[[#This Row],[econScalarName]], scalarDataframe[scalarName] ) ), 0, 1 ), --( "econScalar" = scalarDataframe[scalarType] ) ) &gt;= 1 ) )</f>
        <v>1</v>
      </c>
      <c r="U139" s="86"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9">
        <f xml:space="preserve"> ROW( co_impactTypes[[#This Row],[row_id]] ) - ROW(co_impactTypes[[#Headers],[row_id]] )</f>
        <v>19</v>
      </c>
      <c r="C140" s="20" t="s">
        <v>34</v>
      </c>
      <c r="D140" s="76" t="s">
        <v>201</v>
      </c>
      <c r="E140" s="146" t="s">
        <v>804</v>
      </c>
      <c r="F140" s="150"/>
      <c r="G140" s="81" t="s">
        <v>807</v>
      </c>
      <c r="H140" s="76" t="s">
        <v>1022</v>
      </c>
      <c r="I140" s="76" t="s">
        <v>759</v>
      </c>
      <c r="J140" s="76" t="s">
        <v>256</v>
      </c>
      <c r="K140" s="76" t="s">
        <v>256</v>
      </c>
      <c r="L140" s="76" t="s">
        <v>1010</v>
      </c>
      <c r="M140" s="76" t="s">
        <v>257</v>
      </c>
      <c r="N140" s="75">
        <v>0</v>
      </c>
      <c r="O140" s="75">
        <v>1</v>
      </c>
      <c r="P140" s="75">
        <v>1</v>
      </c>
      <c r="Q140" s="82">
        <f xml:space="preserve"> IF(co_impactTypes[[#This Row],[econMultiplierName]]="None", "N/A", 2010)</f>
        <v>2010</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20</v>
      </c>
      <c r="C141" s="20" t="s">
        <v>223</v>
      </c>
      <c r="D141" s="76" t="s">
        <v>201</v>
      </c>
      <c r="E141" s="146" t="s">
        <v>927</v>
      </c>
      <c r="F141" s="150"/>
      <c r="G141" s="81" t="s">
        <v>1163</v>
      </c>
      <c r="H141" s="76"/>
      <c r="I141" s="76" t="s">
        <v>256</v>
      </c>
      <c r="J141" s="76" t="s">
        <v>256</v>
      </c>
      <c r="K141" s="76" t="s">
        <v>256</v>
      </c>
      <c r="L141" s="76" t="s">
        <v>256</v>
      </c>
      <c r="M141" s="84" t="s">
        <v>256</v>
      </c>
      <c r="N141" s="75">
        <v>0</v>
      </c>
      <c r="O141" s="75">
        <v>1000000</v>
      </c>
      <c r="P141" s="75">
        <v>1</v>
      </c>
      <c r="Q141" s="85" t="str">
        <f xml:space="preserve"> IF(co_impactTypes[[#This Row],[econMultiplierName]]="None", "N/A", 2010)</f>
        <v>N/A</v>
      </c>
      <c r="R141" s="86"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6" cm="1">
        <f t="array" ref="S141" xml:space="preserve"> IF( co_impactTypes[[#This Row],[damageAdjName]] = "none", 1, --( SUMPRODUCT( --IF( ISERROR( FIND( co_impactTypes[[#This Row],[damageAdjName]], scalarDataframe[scalarName] ) ), 0, 1 ), --( "damageAdj" = scalarDataframe[scalarType] ) ) &gt;= 1 ) )</f>
        <v>1</v>
      </c>
      <c r="T141" s="86" cm="1">
        <f t="array" ref="T141" xml:space="preserve"> IF( co_impactTypes[[#This Row],[econScalarName]] = "none", 1, --( SUMPRODUCT( --IF( ISERROR( FIND( co_impactTypes[[#This Row],[econScalarName]], scalarDataframe[scalarName] ) ), 0, 1 ), --( "econScalar" = scalarDataframe[scalarType] ) ) &gt;= 1 ) )</f>
        <v>1</v>
      </c>
      <c r="U141" s="86"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21</v>
      </c>
      <c r="C142" s="20" t="s">
        <v>209</v>
      </c>
      <c r="D142" s="76" t="s">
        <v>201</v>
      </c>
      <c r="E142" s="146" t="s">
        <v>927</v>
      </c>
      <c r="F142" s="150"/>
      <c r="G142" s="87" t="s">
        <v>805</v>
      </c>
      <c r="H142" s="88"/>
      <c r="I142" s="76" t="s">
        <v>236</v>
      </c>
      <c r="J142" s="73" t="s">
        <v>256</v>
      </c>
      <c r="K142" s="73" t="s">
        <v>781</v>
      </c>
      <c r="L142" s="76" t="s">
        <v>256</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22</v>
      </c>
      <c r="C143" s="20" t="s">
        <v>216</v>
      </c>
      <c r="D143" s="76" t="s">
        <v>201</v>
      </c>
      <c r="E143" s="146" t="s">
        <v>927</v>
      </c>
      <c r="F143" s="150"/>
      <c r="G143" s="87" t="s">
        <v>808</v>
      </c>
      <c r="H143" s="88"/>
      <c r="I143" s="76" t="s">
        <v>250</v>
      </c>
      <c r="J143" s="73" t="s">
        <v>256</v>
      </c>
      <c r="K143" s="73" t="s">
        <v>237</v>
      </c>
      <c r="L143" s="76" t="s">
        <v>256</v>
      </c>
      <c r="M143" s="76" t="s">
        <v>256</v>
      </c>
      <c r="N143" s="75">
        <v>0</v>
      </c>
      <c r="O143" s="75">
        <v>1</v>
      </c>
      <c r="P143" s="75">
        <v>1</v>
      </c>
      <c r="Q143" s="82" t="str">
        <f xml:space="preserve"> IF(co_impactTypes[[#This Row],[econMultiplierName]]="None", "N/A", 2010)</f>
        <v>N/A</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9">
        <f xml:space="preserve"> ROW( co_impactTypes[[#This Row],[row_id]] ) - ROW(co_impactTypes[[#Headers],[row_id]] )</f>
        <v>23</v>
      </c>
      <c r="C144" s="19" t="s">
        <v>85</v>
      </c>
      <c r="D144" s="76" t="s">
        <v>982</v>
      </c>
      <c r="E144" s="146" t="s">
        <v>195</v>
      </c>
      <c r="F144" s="150" t="s">
        <v>195</v>
      </c>
      <c r="G144" s="81" t="s">
        <v>214</v>
      </c>
      <c r="H144" s="76"/>
      <c r="I144" s="76" t="s">
        <v>251</v>
      </c>
      <c r="J144" s="76" t="s">
        <v>259</v>
      </c>
      <c r="K144" s="76" t="s">
        <v>256</v>
      </c>
      <c r="L144" s="76" t="s">
        <v>788</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9">
        <f xml:space="preserve"> ROW( co_impactTypes[[#This Row],[row_id]] ) - ROW(co_impactTypes[[#Headers],[row_id]] )</f>
        <v>24</v>
      </c>
      <c r="C145" s="19" t="s">
        <v>85</v>
      </c>
      <c r="D145" s="76" t="s">
        <v>217</v>
      </c>
      <c r="E145" s="146" t="s">
        <v>194</v>
      </c>
      <c r="F145" s="150" t="s">
        <v>194</v>
      </c>
      <c r="G145" s="81" t="s">
        <v>213</v>
      </c>
      <c r="H145" s="76"/>
      <c r="I145" s="76" t="s">
        <v>251</v>
      </c>
      <c r="J145" s="76" t="s">
        <v>259</v>
      </c>
      <c r="K145" s="76" t="s">
        <v>256</v>
      </c>
      <c r="L145" s="76" t="s">
        <v>788</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8">
        <f xml:space="preserve"> ROW( co_impactTypes[[#This Row],[row_id]] ) - ROW(co_impactTypes[[#Headers],[row_id]] )</f>
        <v>25</v>
      </c>
      <c r="C146" s="19" t="s">
        <v>85</v>
      </c>
      <c r="D146" s="76" t="s">
        <v>204</v>
      </c>
      <c r="E146" s="146" t="s">
        <v>191</v>
      </c>
      <c r="F146" s="150" t="s">
        <v>191</v>
      </c>
      <c r="G146" s="81" t="s">
        <v>204</v>
      </c>
      <c r="H146" s="76" t="s">
        <v>1020</v>
      </c>
      <c r="I146" s="76" t="s">
        <v>251</v>
      </c>
      <c r="J146" s="76" t="s">
        <v>259</v>
      </c>
      <c r="K146" s="76" t="s">
        <v>256</v>
      </c>
      <c r="L146" s="76" t="s">
        <v>786</v>
      </c>
      <c r="M146" s="76" t="s">
        <v>257</v>
      </c>
      <c r="N146" s="75">
        <v>0</v>
      </c>
      <c r="O146" s="75">
        <v>1</v>
      </c>
      <c r="P146" s="75">
        <v>0.4</v>
      </c>
      <c r="Q146" s="82">
        <f xml:space="preserve"> IF(co_impactTypes[[#This Row],[econMultiplierName]]="None", "N/A", 2010)</f>
        <v>2010</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8">
        <f xml:space="preserve"> ROW( co_impactTypes[[#This Row],[row_id]] ) - ROW(co_impactTypes[[#Headers],[row_id]] )</f>
        <v>26</v>
      </c>
      <c r="C147" s="19" t="s">
        <v>85</v>
      </c>
      <c r="D147" s="76" t="s">
        <v>205</v>
      </c>
      <c r="E147" s="146" t="s">
        <v>193</v>
      </c>
      <c r="F147" s="150" t="s">
        <v>193</v>
      </c>
      <c r="G147" s="81" t="s">
        <v>212</v>
      </c>
      <c r="H147" s="76"/>
      <c r="I147" s="76" t="s">
        <v>251</v>
      </c>
      <c r="J147" s="76" t="s">
        <v>259</v>
      </c>
      <c r="K147" s="76" t="s">
        <v>256</v>
      </c>
      <c r="L147" s="76" t="s">
        <v>789</v>
      </c>
      <c r="M147" s="76" t="s">
        <v>256</v>
      </c>
      <c r="N147" s="75">
        <v>0</v>
      </c>
      <c r="O147" s="75">
        <v>1</v>
      </c>
      <c r="P147" s="75">
        <v>1</v>
      </c>
      <c r="Q147" s="82" t="str">
        <f xml:space="preserve"> IF(co_impactTypes[[#This Row],[econMultiplierName]]="None", "N/A", 2010)</f>
        <v>N/A</v>
      </c>
      <c r="R147" s="83"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27</v>
      </c>
      <c r="C148" s="19" t="s">
        <v>85</v>
      </c>
      <c r="D148" s="76" t="s">
        <v>249</v>
      </c>
      <c r="E148" s="146" t="s">
        <v>192</v>
      </c>
      <c r="F148" s="150" t="s">
        <v>192</v>
      </c>
      <c r="G148" s="81" t="s">
        <v>809</v>
      </c>
      <c r="H148" s="76"/>
      <c r="I148" s="76" t="s">
        <v>251</v>
      </c>
      <c r="J148" s="76" t="s">
        <v>259</v>
      </c>
      <c r="K148" s="76" t="s">
        <v>256</v>
      </c>
      <c r="L148" s="76" t="s">
        <v>812</v>
      </c>
      <c r="M148" s="76" t="s">
        <v>256</v>
      </c>
      <c r="N148" s="75">
        <v>0</v>
      </c>
      <c r="O148" s="75">
        <v>1</v>
      </c>
      <c r="P148" s="75">
        <v>1</v>
      </c>
      <c r="Q148" s="82" t="str">
        <f xml:space="preserve"> IF(co_impactTypes[[#This Row],[econMultiplierName]]="None", "N/A", 2010)</f>
        <v>N/A</v>
      </c>
      <c r="R148" s="83"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33.75" x14ac:dyDescent="0.2">
      <c r="B149" s="9">
        <f xml:space="preserve"> ROW( co_impactTypes[[#This Row],[row_id]] ) - ROW(co_impactTypes[[#Headers],[row_id]] )</f>
        <v>28</v>
      </c>
      <c r="C149" s="20" t="s">
        <v>225</v>
      </c>
      <c r="D149" s="76" t="s">
        <v>201</v>
      </c>
      <c r="E149" s="146" t="s">
        <v>927</v>
      </c>
      <c r="F149" s="150"/>
      <c r="G149" s="81" t="s">
        <v>995</v>
      </c>
      <c r="H149" s="76"/>
      <c r="I149" s="76" t="s">
        <v>256</v>
      </c>
      <c r="J149" s="76" t="s">
        <v>256</v>
      </c>
      <c r="K149" s="76" t="s">
        <v>256</v>
      </c>
      <c r="L149" s="76" t="s">
        <v>256</v>
      </c>
      <c r="M149" s="76" t="s">
        <v>256</v>
      </c>
      <c r="N149" s="75">
        <v>0</v>
      </c>
      <c r="O149" s="75">
        <f>10^6</f>
        <v>1000000</v>
      </c>
      <c r="P149" s="75">
        <v>1</v>
      </c>
      <c r="Q149" s="82" t="str">
        <f xml:space="preserve"> IF(co_impactTypes[[#This Row],[econMultiplierName]]="None", "N/A", 2010)</f>
        <v>N/A</v>
      </c>
      <c r="R149" s="83"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29</v>
      </c>
      <c r="C150" s="20" t="s">
        <v>983</v>
      </c>
      <c r="D150" s="76" t="s">
        <v>994</v>
      </c>
      <c r="E150" s="146" t="s">
        <v>804</v>
      </c>
      <c r="F150" s="150" t="s">
        <v>994</v>
      </c>
      <c r="G150" s="81" t="s">
        <v>994</v>
      </c>
      <c r="H150" s="76"/>
      <c r="I150" s="76" t="s">
        <v>251</v>
      </c>
      <c r="J150" s="76" t="s">
        <v>989</v>
      </c>
      <c r="K150" s="76" t="s">
        <v>256</v>
      </c>
      <c r="L150" s="76" t="s">
        <v>990</v>
      </c>
      <c r="M150" s="76" t="s">
        <v>257</v>
      </c>
      <c r="N150" s="75">
        <v>0</v>
      </c>
      <c r="O150" s="75">
        <v>1</v>
      </c>
      <c r="P150" s="75">
        <v>1</v>
      </c>
      <c r="Q150" s="85">
        <f xml:space="preserve"> IF(co_impactTypes[[#This Row],[econMultiplierName]]="None", "N/A", 2010)</f>
        <v>2010</v>
      </c>
      <c r="R150" s="86"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30</v>
      </c>
      <c r="C151" s="20" t="s">
        <v>983</v>
      </c>
      <c r="D151" s="76" t="s">
        <v>769</v>
      </c>
      <c r="E151" s="150" t="s">
        <v>769</v>
      </c>
      <c r="F151" s="150" t="s">
        <v>769</v>
      </c>
      <c r="G151" s="81" t="s">
        <v>769</v>
      </c>
      <c r="H151" s="76"/>
      <c r="I151" s="76" t="s">
        <v>251</v>
      </c>
      <c r="J151" s="76" t="s">
        <v>1011</v>
      </c>
      <c r="K151" s="76" t="s">
        <v>256</v>
      </c>
      <c r="L151" s="76" t="s">
        <v>991</v>
      </c>
      <c r="M151" s="76" t="s">
        <v>256</v>
      </c>
      <c r="N151" s="75">
        <v>0</v>
      </c>
      <c r="O151" s="75">
        <v>1</v>
      </c>
      <c r="P151" s="75">
        <v>1</v>
      </c>
      <c r="Q151" s="85" t="str">
        <f xml:space="preserve"> IF(co_impactTypes[[#This Row],[econMultiplierName]]="None", "N/A", 2010)</f>
        <v>N/A</v>
      </c>
      <c r="R151" s="86"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31</v>
      </c>
      <c r="C152" s="20" t="s">
        <v>983</v>
      </c>
      <c r="D152" s="76" t="s">
        <v>768</v>
      </c>
      <c r="E152" s="150" t="s">
        <v>768</v>
      </c>
      <c r="F152" s="150" t="s">
        <v>768</v>
      </c>
      <c r="G152" s="81" t="s">
        <v>768</v>
      </c>
      <c r="H152" s="76" t="s">
        <v>1020</v>
      </c>
      <c r="I152" s="76" t="s">
        <v>251</v>
      </c>
      <c r="J152" s="76" t="s">
        <v>988</v>
      </c>
      <c r="K152" s="76" t="s">
        <v>256</v>
      </c>
      <c r="L152" s="76" t="s">
        <v>786</v>
      </c>
      <c r="M152" s="76" t="s">
        <v>257</v>
      </c>
      <c r="N152" s="75">
        <v>0</v>
      </c>
      <c r="O152" s="75">
        <v>1</v>
      </c>
      <c r="P152" s="75">
        <v>0.4</v>
      </c>
      <c r="Q152" s="85">
        <f xml:space="preserve"> IF(co_impactTypes[[#This Row],[econMultiplierName]]="None", "N/A", 2010)</f>
        <v>2010</v>
      </c>
      <c r="R152" s="86"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32</v>
      </c>
      <c r="C153" s="20" t="s">
        <v>1303</v>
      </c>
      <c r="D153" s="76" t="s">
        <v>1307</v>
      </c>
      <c r="E153" s="76" t="s">
        <v>1304</v>
      </c>
      <c r="F153" s="76" t="s">
        <v>1304</v>
      </c>
      <c r="G153" s="76" t="s">
        <v>1307</v>
      </c>
      <c r="H153" s="76"/>
      <c r="I153" s="76" t="s">
        <v>256</v>
      </c>
      <c r="J153" s="76" t="s">
        <v>256</v>
      </c>
      <c r="K153" s="76" t="s">
        <v>256</v>
      </c>
      <c r="L153" s="76" t="s">
        <v>256</v>
      </c>
      <c r="M153" s="84" t="s">
        <v>256</v>
      </c>
      <c r="N153" s="75">
        <v>0</v>
      </c>
      <c r="O153" s="75">
        <v>1</v>
      </c>
      <c r="P153" s="75">
        <v>1</v>
      </c>
      <c r="Q153" s="85" t="str">
        <f xml:space="preserve"> IF(co_impactTypes[[#This Row],[econMultiplierName]]="None", "N/A", 2010)</f>
        <v>N/A</v>
      </c>
      <c r="R153" s="86"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6" cm="1">
        <f t="array" ref="S153" xml:space="preserve"> IF( co_impactTypes[[#This Row],[damageAdjName]] = "none", 1, --( SUMPRODUCT( --IF( ISERROR( FIND( co_impactTypes[[#This Row],[damageAdjName]], scalarDataframe[scalarName] ) ), 0, 1 ), --( "damageAdj" = scalarDataframe[scalarType] ) ) &gt;= 1 ) )</f>
        <v>1</v>
      </c>
      <c r="T153" s="86" cm="1">
        <f t="array" ref="T153" xml:space="preserve"> IF( co_impactTypes[[#This Row],[econScalarName]] = "none", 1, --( SUMPRODUCT( --IF( ISERROR( FIND( co_impactTypes[[#This Row],[econScalarName]], scalarDataframe[scalarName] ) ), 0, 1 ), --( "econScalar" = scalarDataframe[scalarType] ) ) &gt;= 1 ) )</f>
        <v>1</v>
      </c>
      <c r="U153" s="86"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33</v>
      </c>
      <c r="C154" s="20" t="s">
        <v>1303</v>
      </c>
      <c r="D154" s="76" t="s">
        <v>1308</v>
      </c>
      <c r="E154" s="76" t="s">
        <v>1305</v>
      </c>
      <c r="F154" s="76" t="s">
        <v>1305</v>
      </c>
      <c r="G154" s="76" t="s">
        <v>1308</v>
      </c>
      <c r="H154" s="76"/>
      <c r="I154" s="76" t="s">
        <v>256</v>
      </c>
      <c r="J154" s="76" t="s">
        <v>256</v>
      </c>
      <c r="K154" s="76" t="s">
        <v>256</v>
      </c>
      <c r="L154" s="76" t="s">
        <v>990</v>
      </c>
      <c r="M154" s="84" t="s">
        <v>257</v>
      </c>
      <c r="N154" s="75">
        <v>0</v>
      </c>
      <c r="O154" s="75">
        <v>1</v>
      </c>
      <c r="P154" s="75">
        <v>1</v>
      </c>
      <c r="Q154" s="85">
        <f xml:space="preserve"> IF(co_impactTypes[[#This Row],[econMultiplierName]]="None", "N/A", 2010)</f>
        <v>2010</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34</v>
      </c>
      <c r="C155" s="20" t="s">
        <v>1303</v>
      </c>
      <c r="D155" s="76" t="s">
        <v>768</v>
      </c>
      <c r="E155" s="76" t="s">
        <v>768</v>
      </c>
      <c r="F155" s="76" t="s">
        <v>768</v>
      </c>
      <c r="G155" s="76" t="s">
        <v>768</v>
      </c>
      <c r="H155" s="76"/>
      <c r="I155" s="76" t="s">
        <v>256</v>
      </c>
      <c r="J155" s="76" t="s">
        <v>256</v>
      </c>
      <c r="K155" s="76" t="s">
        <v>256</v>
      </c>
      <c r="L155" s="76" t="s">
        <v>786</v>
      </c>
      <c r="M155" s="84" t="s">
        <v>257</v>
      </c>
      <c r="N155" s="75">
        <v>0</v>
      </c>
      <c r="O155" s="75">
        <v>1</v>
      </c>
      <c r="P155" s="75">
        <v>1</v>
      </c>
      <c r="Q155" s="85">
        <f xml:space="preserve"> IF(co_impactTypes[[#This Row],[econMultiplierName]]="None", "N/A", 2010)</f>
        <v>2010</v>
      </c>
      <c r="R155" s="86"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6" cm="1">
        <f t="array" ref="S155" xml:space="preserve"> IF( co_impactTypes[[#This Row],[damageAdjName]] = "none", 1, --( SUMPRODUCT( --IF( ISERROR( FIND( co_impactTypes[[#This Row],[damageAdjName]], scalarDataframe[scalarName] ) ), 0, 1 ), --( "damageAdj" = scalarDataframe[scalarType] ) ) &gt;= 1 ) )</f>
        <v>1</v>
      </c>
      <c r="T155" s="86" cm="1">
        <f t="array" ref="T155" xml:space="preserve"> IF( co_impactTypes[[#This Row],[econScalarName]] = "none", 1, --( SUMPRODUCT( --IF( ISERROR( FIND( co_impactTypes[[#This Row],[econScalarName]], scalarDataframe[scalarName] ) ), 0, 1 ), --( "econScalar" = scalarDataframe[scalarType] ) ) &gt;= 1 ) )</f>
        <v>1</v>
      </c>
      <c r="U155" s="86"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9">
        <f xml:space="preserve"> ROW( co_impactTypes[[#This Row],[row_id]] ) - ROW(co_impactTypes[[#Headers],[row_id]] )</f>
        <v>35</v>
      </c>
      <c r="C156" s="20" t="s">
        <v>227</v>
      </c>
      <c r="D156" s="76" t="s">
        <v>201</v>
      </c>
      <c r="E156" s="146" t="s">
        <v>927</v>
      </c>
      <c r="F156" s="150"/>
      <c r="G156" s="81" t="s">
        <v>806</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9">
        <f xml:space="preserve"> ROW( co_impactTypes[[#This Row],[row_id]] ) - ROW(co_impactTypes[[#Headers],[row_id]] )</f>
        <v>36</v>
      </c>
      <c r="C157" s="19" t="s">
        <v>761</v>
      </c>
      <c r="D157" s="76" t="s">
        <v>769</v>
      </c>
      <c r="E157" s="146" t="s">
        <v>769</v>
      </c>
      <c r="F157" s="150" t="s">
        <v>769</v>
      </c>
      <c r="G157" s="81" t="s">
        <v>769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9">
        <f xml:space="preserve"> ROW( co_impactTypes[[#This Row],[row_id]] ) - ROW(co_impactTypes[[#Headers],[row_id]] )</f>
        <v>37</v>
      </c>
      <c r="C158" s="19" t="s">
        <v>761</v>
      </c>
      <c r="D158" s="76" t="s">
        <v>768</v>
      </c>
      <c r="E158" s="146" t="s">
        <v>768</v>
      </c>
      <c r="F158" s="150" t="s">
        <v>768</v>
      </c>
      <c r="G158" s="81" t="s">
        <v>768</v>
      </c>
      <c r="H158" s="76" t="s">
        <v>1020</v>
      </c>
      <c r="I158" s="76" t="s">
        <v>251</v>
      </c>
      <c r="J158" s="76" t="s">
        <v>256</v>
      </c>
      <c r="K158" s="76" t="s">
        <v>256</v>
      </c>
      <c r="L158" s="76" t="s">
        <v>786</v>
      </c>
      <c r="M158" s="76" t="s">
        <v>257</v>
      </c>
      <c r="N158" s="75">
        <v>0</v>
      </c>
      <c r="O158" s="75">
        <v>1</v>
      </c>
      <c r="P158" s="75">
        <v>0.4</v>
      </c>
      <c r="Q158" s="82">
        <f xml:space="preserve"> IF(co_impactTypes[[#This Row],[econMultiplierName]]="None", "N/A", 2010)</f>
        <v>2010</v>
      </c>
      <c r="R158" s="83"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3" cm="1">
        <f t="array" ref="S158" xml:space="preserve"> IF( co_impactTypes[[#This Row],[damageAdjName]] = "none", 1, --( SUMPRODUCT( --IF( ISERROR( FIND( co_impactTypes[[#This Row],[damageAdjName]], scalarDataframe[scalarName] ) ), 0, 1 ), --( "damageAdj" = scalarDataframe[scalarType] ) ) &gt;= 1 ) )</f>
        <v>1</v>
      </c>
      <c r="T158" s="83" cm="1">
        <f t="array" ref="T158" xml:space="preserve"> IF( co_impactTypes[[#This Row],[econScalarName]] = "none", 1, --( SUMPRODUCT( --IF( ISERROR( FIND( co_impactTypes[[#This Row],[econScalarName]], scalarDataframe[scalarName] ) ), 0, 1 ), --( "econScalar" = scalarDataframe[scalarType] ) ) &gt;= 1 ) )</f>
        <v>1</v>
      </c>
      <c r="U158" s="83"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9">
        <f xml:space="preserve"> ROW( co_impactTypes[[#This Row],[row_id]] ) - ROW(co_impactTypes[[#Headers],[row_id]] )</f>
        <v>38</v>
      </c>
      <c r="C159" s="19" t="s">
        <v>761</v>
      </c>
      <c r="D159" s="76" t="s">
        <v>802</v>
      </c>
      <c r="E159" s="146" t="s">
        <v>772</v>
      </c>
      <c r="F159" s="150" t="s">
        <v>802</v>
      </c>
      <c r="G159" s="81" t="s">
        <v>802</v>
      </c>
      <c r="H159" s="76" t="s">
        <v>1021</v>
      </c>
      <c r="I159" s="76" t="s">
        <v>256</v>
      </c>
      <c r="J159" s="76" t="s">
        <v>256</v>
      </c>
      <c r="K159" s="76" t="s">
        <v>256</v>
      </c>
      <c r="L159" s="76" t="s">
        <v>771</v>
      </c>
      <c r="M159" s="76" t="s">
        <v>256</v>
      </c>
      <c r="N159" s="75">
        <v>0</v>
      </c>
      <c r="O159" s="75">
        <v>1</v>
      </c>
      <c r="P159" s="75">
        <v>1</v>
      </c>
      <c r="Q159" s="82" t="str">
        <f xml:space="preserve"> IF(co_impactTypes[[#This Row],[econMultiplierName]]="None", "N/A", 2010)</f>
        <v>N/A</v>
      </c>
      <c r="R159" s="83"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83" cm="1">
        <f t="array" ref="S159" xml:space="preserve"> IF( co_impactTypes[[#This Row],[damageAdjName]] = "none", 1, --( SUMPRODUCT( --IF( ISERROR( FIND( co_impactTypes[[#This Row],[damageAdjName]], scalarDataframe[scalarName] ) ), 0, 1 ), --( "damageAdj" = scalarDataframe[scalarType] ) ) &gt;= 1 ) )</f>
        <v>1</v>
      </c>
      <c r="T159" s="83" cm="1">
        <f t="array" ref="T159" xml:space="preserve"> IF( co_impactTypes[[#This Row],[econScalarName]] = "none", 1, --( SUMPRODUCT( --IF( ISERROR( FIND( co_impactTypes[[#This Row],[econScalarName]], scalarDataframe[scalarName] ) ), 0, 1 ), --( "econScalar" = scalarDataframe[scalarType] ) ) &gt;= 1 ) )</f>
        <v>1</v>
      </c>
      <c r="U159" s="83"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9">
        <f xml:space="preserve"> ROW( co_impactTypes[[#This Row],[row_id]] ) - ROW(co_impactTypes[[#Headers],[row_id]] )</f>
        <v>39</v>
      </c>
      <c r="C160" s="20" t="s">
        <v>1088</v>
      </c>
      <c r="D160" s="76" t="s">
        <v>201</v>
      </c>
      <c r="E160" s="146" t="s">
        <v>927</v>
      </c>
      <c r="F160" s="150"/>
      <c r="G160" s="81" t="s">
        <v>1099</v>
      </c>
      <c r="H160" s="76"/>
      <c r="I160" s="76" t="s">
        <v>256</v>
      </c>
      <c r="J160" s="76" t="s">
        <v>256</v>
      </c>
      <c r="K160" s="76" t="s">
        <v>256</v>
      </c>
      <c r="L160" s="76" t="s">
        <v>256</v>
      </c>
      <c r="M160" s="84" t="s">
        <v>256</v>
      </c>
      <c r="N160" s="75">
        <v>0</v>
      </c>
      <c r="O160" s="75">
        <v>1</v>
      </c>
      <c r="P160" s="75">
        <v>1</v>
      </c>
      <c r="Q160" s="85" t="str">
        <f xml:space="preserve"> IF(co_impactTypes[[#This Row],[econMultiplierName]]="None", "N/A", 2010)</f>
        <v>N/A</v>
      </c>
      <c r="R160" s="86"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86" cm="1">
        <f t="array" ref="S160" xml:space="preserve"> IF( co_impactTypes[[#This Row],[damageAdjName]] = "none", 1, --( SUMPRODUCT( --IF( ISERROR( FIND( co_impactTypes[[#This Row],[damageAdjName]], scalarDataframe[scalarName] ) ), 0, 1 ), --( "damageAdj" = scalarDataframe[scalarType] ) ) &gt;= 1 ) )</f>
        <v>1</v>
      </c>
      <c r="T160" s="86" cm="1">
        <f t="array" ref="T160" xml:space="preserve"> IF( co_impactTypes[[#This Row],[econScalarName]] = "none", 1, --( SUMPRODUCT( --IF( ISERROR( FIND( co_impactTypes[[#This Row],[econScalarName]], scalarDataframe[scalarName] ) ), 0, 1 ), --( "econScalar" = scalarDataframe[scalarType] ) ) &gt;= 1 ) )</f>
        <v>1</v>
      </c>
      <c r="U160" s="86"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t="22.5" x14ac:dyDescent="0.2">
      <c r="B161" s="9">
        <f xml:space="preserve"> ROW( co_impactTypes[[#This Row],[row_id]] ) - ROW(co_impactTypes[[#Headers],[row_id]] )</f>
        <v>40</v>
      </c>
      <c r="C161" s="19" t="s">
        <v>89</v>
      </c>
      <c r="D161" s="76" t="s">
        <v>206</v>
      </c>
      <c r="E161" s="146" t="s">
        <v>90</v>
      </c>
      <c r="F161" s="150" t="s">
        <v>90</v>
      </c>
      <c r="G161" s="81" t="s">
        <v>997</v>
      </c>
      <c r="H161" s="76"/>
      <c r="I161" s="76" t="s">
        <v>251</v>
      </c>
      <c r="J161" s="76" t="s">
        <v>256</v>
      </c>
      <c r="K161" s="76" t="s">
        <v>256</v>
      </c>
      <c r="L161" s="76" t="s">
        <v>256</v>
      </c>
      <c r="M161" s="76" t="s">
        <v>256</v>
      </c>
      <c r="N161" s="75">
        <v>0</v>
      </c>
      <c r="O161" s="75">
        <v>1</v>
      </c>
      <c r="P161" s="75">
        <v>1</v>
      </c>
      <c r="Q161" s="82" t="str">
        <f xml:space="preserve"> IF(co_impactTypes[[#This Row],[econMultiplierName]]="None", "N/A", 2010)</f>
        <v>N/A</v>
      </c>
      <c r="R161" s="83"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83" cm="1">
        <f t="array" ref="S161" xml:space="preserve"> IF( co_impactTypes[[#This Row],[damageAdjName]] = "none", 1, --( SUMPRODUCT( --IF( ISERROR( FIND( co_impactTypes[[#This Row],[damageAdjName]], scalarDataframe[scalarName] ) ), 0, 1 ), --( "damageAdj" = scalarDataframe[scalarType] ) ) &gt;= 1 ) )</f>
        <v>1</v>
      </c>
      <c r="T161" s="83" cm="1">
        <f t="array" ref="T161" xml:space="preserve"> IF( co_impactTypes[[#This Row],[econScalarName]] = "none", 1, --( SUMPRODUCT( --IF( ISERROR( FIND( co_impactTypes[[#This Row],[econScalarName]], scalarDataframe[scalarName] ) ), 0, 1 ), --( "econScalar" = scalarDataframe[scalarType] ) ) &gt;= 1 ) )</f>
        <v>1</v>
      </c>
      <c r="U161" s="83"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t="22.5" x14ac:dyDescent="0.2">
      <c r="B162" s="9">
        <f xml:space="preserve"> ROW( co_impactTypes[[#This Row],[row_id]] ) - ROW(co_impactTypes[[#Headers],[row_id]] )</f>
        <v>41</v>
      </c>
      <c r="C162" s="19" t="s">
        <v>89</v>
      </c>
      <c r="D162" s="76" t="s">
        <v>207</v>
      </c>
      <c r="E162" s="146" t="s">
        <v>91</v>
      </c>
      <c r="F162" s="150" t="s">
        <v>91</v>
      </c>
      <c r="G162" s="81" t="s">
        <v>998</v>
      </c>
      <c r="H162" s="76"/>
      <c r="I162" s="76" t="s">
        <v>251</v>
      </c>
      <c r="J162" s="76" t="s">
        <v>256</v>
      </c>
      <c r="K162" s="76" t="s">
        <v>256</v>
      </c>
      <c r="L162" s="76" t="s">
        <v>256</v>
      </c>
      <c r="M162" s="76" t="s">
        <v>256</v>
      </c>
      <c r="N162" s="75">
        <v>0</v>
      </c>
      <c r="O162" s="75">
        <v>1</v>
      </c>
      <c r="P162" s="75">
        <v>1</v>
      </c>
      <c r="Q162" s="82" t="str">
        <f xml:space="preserve"> IF(co_impactTypes[[#This Row],[econMultiplierName]]="None", "N/A", 2010)</f>
        <v>N/A</v>
      </c>
      <c r="R162" s="83"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83" cm="1">
        <f t="array" ref="S162" xml:space="preserve"> IF( co_impactTypes[[#This Row],[damageAdjName]] = "none", 1, --( SUMPRODUCT( --IF( ISERROR( FIND( co_impactTypes[[#This Row],[damageAdjName]], scalarDataframe[scalarName] ) ), 0, 1 ), --( "damageAdj" = scalarDataframe[scalarType] ) ) &gt;= 1 ) )</f>
        <v>1</v>
      </c>
      <c r="T162" s="83" cm="1">
        <f t="array" ref="T162" xml:space="preserve"> IF( co_impactTypes[[#This Row],[econScalarName]] = "none", 1, --( SUMPRODUCT( --IF( ISERROR( FIND( co_impactTypes[[#This Row],[econScalarName]], scalarDataframe[scalarName] ) ), 0, 1 ), --( "econScalar" = scalarDataframe[scalarType] ) ) &gt;= 1 ) )</f>
        <v>1</v>
      </c>
      <c r="U162" s="83"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ht="22.5" x14ac:dyDescent="0.2">
      <c r="B163" s="9">
        <f xml:space="preserve"> ROW( co_impactTypes[[#This Row],[row_id]] ) - ROW(co_impactTypes[[#Headers],[row_id]] )</f>
        <v>42</v>
      </c>
      <c r="C163" s="19" t="s">
        <v>89</v>
      </c>
      <c r="D163" s="76" t="s">
        <v>92</v>
      </c>
      <c r="E163" s="146" t="s">
        <v>92</v>
      </c>
      <c r="F163" s="150" t="s">
        <v>92</v>
      </c>
      <c r="G163" s="81" t="s">
        <v>999</v>
      </c>
      <c r="H163" s="76"/>
      <c r="I163" s="76" t="s">
        <v>251</v>
      </c>
      <c r="J163" s="76" t="s">
        <v>256</v>
      </c>
      <c r="K163" s="76" t="s">
        <v>256</v>
      </c>
      <c r="L163" s="76" t="s">
        <v>256</v>
      </c>
      <c r="M163" s="76" t="s">
        <v>256</v>
      </c>
      <c r="N163" s="75">
        <v>0</v>
      </c>
      <c r="O163" s="75">
        <v>1</v>
      </c>
      <c r="P163" s="75">
        <v>1</v>
      </c>
      <c r="Q163" s="82" t="str">
        <f xml:space="preserve"> IF(co_impactTypes[[#This Row],[econMultiplierName]]="None", "N/A", 2010)</f>
        <v>N/A</v>
      </c>
      <c r="R163" s="83"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83" cm="1">
        <f t="array" ref="S163" xml:space="preserve"> IF( co_impactTypes[[#This Row],[damageAdjName]] = "none", 1, --( SUMPRODUCT( --IF( ISERROR( FIND( co_impactTypes[[#This Row],[damageAdjName]], scalarDataframe[scalarName] ) ), 0, 1 ), --( "damageAdj" = scalarDataframe[scalarType] ) ) &gt;= 1 ) )</f>
        <v>1</v>
      </c>
      <c r="T163" s="83" cm="1">
        <f t="array" ref="T163" xml:space="preserve"> IF( co_impactTypes[[#This Row],[econScalarName]] = "none", 1, --( SUMPRODUCT( --IF( ISERROR( FIND( co_impactTypes[[#This Row],[econScalarName]], scalarDataframe[scalarName] ) ), 0, 1 ), --( "econScalar" = scalarDataframe[scalarType] ) ) &gt;= 1 ) )</f>
        <v>1</v>
      </c>
      <c r="U163" s="83" cm="1">
        <f t="array" ref="U163" xml:space="preserve"> IF( NOT( ISERROR( FIND( co_impactTypes[[#This Row],[physScalarName]], "none, reg_pop" ) ) ), 1, --( SUMPRODUCT( --IF( ISERROR( FIND( co_impactTypes[[#This Row],[physScalarName]], scalarDataframe[scalarName] ) ), 0, 1 ), --( "physScalar" = scalarDataframe[scalarType] ) ) &gt;= 1 ) )</f>
        <v>1</v>
      </c>
    </row>
    <row r="166" spans="1:21" ht="15" x14ac:dyDescent="0.25">
      <c r="A166" s="63"/>
      <c r="B166" s="64" t="s">
        <v>1161</v>
      </c>
      <c r="C166" s="64"/>
      <c r="D166" s="64"/>
      <c r="E166" s="64"/>
      <c r="F166" s="64"/>
      <c r="G166" s="64"/>
      <c r="H166" s="64"/>
      <c r="I166" s="64"/>
      <c r="J166" s="64"/>
      <c r="K166" s="64"/>
      <c r="L166" s="64"/>
      <c r="M166" s="64"/>
      <c r="N166" s="64"/>
      <c r="O166" s="64"/>
      <c r="P166" s="64"/>
      <c r="Q166" s="64"/>
      <c r="R166" s="64"/>
      <c r="S166" s="64"/>
      <c r="T166" s="64"/>
      <c r="U166" s="64"/>
    </row>
    <row r="168" spans="1:21" ht="15" x14ac:dyDescent="0.25">
      <c r="B168" s="78" t="s">
        <v>780</v>
      </c>
      <c r="C168" s="78" t="s">
        <v>254</v>
      </c>
      <c r="D168" s="78" t="s">
        <v>253</v>
      </c>
      <c r="E168" s="80" t="s">
        <v>813</v>
      </c>
      <c r="F168" s="80" t="s">
        <v>891</v>
      </c>
      <c r="G168" s="80" t="s">
        <v>892</v>
      </c>
      <c r="H168" s="80" t="s">
        <v>817</v>
      </c>
      <c r="I168" s="80" t="s">
        <v>909</v>
      </c>
      <c r="J168" s="78" t="s">
        <v>833</v>
      </c>
      <c r="K168" s="78" t="s">
        <v>1015</v>
      </c>
      <c r="R168" s="33"/>
      <c r="S168" s="33"/>
      <c r="T168" s="33"/>
    </row>
    <row r="169" spans="1:21" ht="22.5" x14ac:dyDescent="0.25">
      <c r="B169" s="16">
        <f xml:space="preserve"> ROW( co_scalarInfo[[#This Row],[row_id]] ) - ROW( co_scalarInfo[[#Headers],[row_id]] )</f>
        <v>1</v>
      </c>
      <c r="C169" s="74" t="s">
        <v>261</v>
      </c>
      <c r="D169" s="74" t="s">
        <v>260</v>
      </c>
      <c r="E169" s="178" t="s">
        <v>815</v>
      </c>
      <c r="F169" s="178" t="s">
        <v>895</v>
      </c>
      <c r="G169" s="178" t="s">
        <v>894</v>
      </c>
      <c r="H169" s="178">
        <v>2015</v>
      </c>
      <c r="I169" s="179" t="s">
        <v>910</v>
      </c>
      <c r="J169" s="91"/>
      <c r="K169" s="91" cm="1">
        <f t="array" ref="K169" xml:space="preserve"> SUMPRODUCT( --( co_scalarInfo[[#This Row],[scalarName]] = scalarDataframe[scalarName] ) )</f>
        <v>140</v>
      </c>
      <c r="R169" s="17"/>
      <c r="S169" s="17"/>
      <c r="T169" s="17"/>
    </row>
    <row r="170" spans="1:21" ht="33.75" x14ac:dyDescent="0.25">
      <c r="B170" s="180">
        <f xml:space="preserve"> ROW( co_scalarInfo[[#This Row],[row_id]] ) - ROW( co_scalarInfo[[#Headers],[row_id]] )</f>
        <v>2</v>
      </c>
      <c r="C170" s="81" t="s">
        <v>1003</v>
      </c>
      <c r="D170" s="74" t="s">
        <v>798</v>
      </c>
      <c r="E170" s="178" t="s">
        <v>815</v>
      </c>
      <c r="F170" s="178" t="s">
        <v>895</v>
      </c>
      <c r="G170" s="178" t="s">
        <v>894</v>
      </c>
      <c r="H170" s="181" t="s">
        <v>946</v>
      </c>
      <c r="I170" s="179" t="s">
        <v>910</v>
      </c>
      <c r="J170" s="91"/>
      <c r="K170" s="91" cm="1">
        <f t="array" ref="K170" xml:space="preserve"> SUMPRODUCT( --( co_scalarInfo[[#This Row],[scalarName]] = scalarDataframe[scalarName] ) )</f>
        <v>140</v>
      </c>
      <c r="R170" s="17"/>
      <c r="S170" s="17"/>
      <c r="T170" s="17"/>
    </row>
    <row r="171" spans="1:21" ht="15" x14ac:dyDescent="0.25">
      <c r="B171" s="180">
        <f xml:space="preserve"> ROW( co_scalarInfo[[#This Row],[row_id]] ) - ROW( co_scalarInfo[[#Headers],[row_id]] )</f>
        <v>3</v>
      </c>
      <c r="C171" s="81" t="s">
        <v>256</v>
      </c>
      <c r="D171" s="74" t="s">
        <v>915</v>
      </c>
      <c r="E171" s="178" t="s">
        <v>815</v>
      </c>
      <c r="F171" s="178" t="s">
        <v>785</v>
      </c>
      <c r="G171" s="178" t="s">
        <v>893</v>
      </c>
      <c r="H171" s="182" t="s">
        <v>201</v>
      </c>
      <c r="I171" s="183" t="s">
        <v>912</v>
      </c>
      <c r="J171" s="91" t="s">
        <v>916</v>
      </c>
      <c r="K171" s="91" cm="1">
        <f t="array" ref="K171" xml:space="preserve"> SUMPRODUCT( --( co_scalarInfo[[#This Row],[scalarName]] = scalarDataframe[scalarName] ) )</f>
        <v>0</v>
      </c>
      <c r="R171" s="17"/>
      <c r="S171" s="17"/>
      <c r="T171" s="17"/>
    </row>
    <row r="172" spans="1:21" ht="15" x14ac:dyDescent="0.25">
      <c r="B172" s="180">
        <f xml:space="preserve"> ROW( co_scalarInfo[[#This Row],[row_id]] ) - ROW( co_scalarInfo[[#Headers],[row_id]] )</f>
        <v>4</v>
      </c>
      <c r="C172" s="81" t="s">
        <v>781</v>
      </c>
      <c r="D172" s="74" t="s">
        <v>799</v>
      </c>
      <c r="E172" s="178" t="s">
        <v>815</v>
      </c>
      <c r="F172" s="178" t="s">
        <v>895</v>
      </c>
      <c r="G172" s="178" t="s">
        <v>893</v>
      </c>
      <c r="H172" s="181" t="s">
        <v>946</v>
      </c>
      <c r="I172" s="179" t="s">
        <v>910</v>
      </c>
      <c r="J172" s="91"/>
      <c r="K172" s="91" cm="1">
        <f t="array" ref="K172" xml:space="preserve"> SUMPRODUCT( --( co_scalarInfo[[#This Row],[scalarName]] = scalarDataframe[scalarName] ) )</f>
        <v>20</v>
      </c>
      <c r="R172" s="17"/>
      <c r="S172" s="17"/>
      <c r="T172" s="17"/>
    </row>
    <row r="173" spans="1:21" ht="45" x14ac:dyDescent="0.25">
      <c r="B173" s="180">
        <f xml:space="preserve"> ROW( co_scalarInfo[[#This Row],[row_id]] ) - ROW( co_scalarInfo[[#Headers],[row_id]] )</f>
        <v>5</v>
      </c>
      <c r="C173" s="81" t="s">
        <v>897</v>
      </c>
      <c r="D173" s="74" t="s">
        <v>900</v>
      </c>
      <c r="E173" s="178" t="s">
        <v>815</v>
      </c>
      <c r="F173" s="178" t="s">
        <v>895</v>
      </c>
      <c r="G173" s="178" t="s">
        <v>894</v>
      </c>
      <c r="H173" s="181" t="s">
        <v>946</v>
      </c>
      <c r="I173" s="179" t="s">
        <v>910</v>
      </c>
      <c r="J173" s="91" t="s">
        <v>899</v>
      </c>
      <c r="K173" s="91" cm="1">
        <f t="array" ref="K173" xml:space="preserve"> SUMPRODUCT( --( co_scalarInfo[[#This Row],[scalarName]] = scalarDataframe[scalarName] ) )</f>
        <v>157</v>
      </c>
      <c r="R173" s="17"/>
      <c r="S173" s="17"/>
      <c r="T173" s="17"/>
    </row>
    <row r="174" spans="1:21" ht="33.75" x14ac:dyDescent="0.25">
      <c r="B174" s="180">
        <f xml:space="preserve"> ROW( co_scalarInfo[[#This Row],[row_id]] ) - ROW( co_scalarInfo[[#Headers],[row_id]] )</f>
        <v>6</v>
      </c>
      <c r="C174" s="81" t="s">
        <v>896</v>
      </c>
      <c r="D174" s="74" t="s">
        <v>901</v>
      </c>
      <c r="E174" s="178" t="s">
        <v>815</v>
      </c>
      <c r="F174" s="178" t="s">
        <v>895</v>
      </c>
      <c r="G174" s="178" t="s">
        <v>894</v>
      </c>
      <c r="H174" s="181" t="s">
        <v>946</v>
      </c>
      <c r="I174" s="179" t="s">
        <v>910</v>
      </c>
      <c r="J174" s="91" t="s">
        <v>898</v>
      </c>
      <c r="K174" s="91" cm="1">
        <f t="array" ref="K174" xml:space="preserve"> SUMPRODUCT( --( co_scalarInfo[[#This Row],[scalarName]] = scalarDataframe[scalarName] ) )</f>
        <v>157</v>
      </c>
      <c r="R174" s="17"/>
      <c r="S174" s="17"/>
      <c r="T174" s="17"/>
    </row>
    <row r="175" spans="1:21" ht="15" x14ac:dyDescent="0.25">
      <c r="B175" s="180">
        <f xml:space="preserve"> ROW( co_scalarInfo[[#This Row],[row_id]] ) - ROW( co_scalarInfo[[#Headers],[row_id]] )</f>
        <v>7</v>
      </c>
      <c r="C175" s="81" t="s">
        <v>990</v>
      </c>
      <c r="D175" s="74" t="s">
        <v>992</v>
      </c>
      <c r="E175" s="178" t="s">
        <v>814</v>
      </c>
      <c r="F175" s="178" t="s">
        <v>785</v>
      </c>
      <c r="G175" s="178" t="s">
        <v>893</v>
      </c>
      <c r="H175" s="181" t="s">
        <v>946</v>
      </c>
      <c r="I175" s="179" t="s">
        <v>910</v>
      </c>
      <c r="J175" s="91"/>
      <c r="K175" s="91" cm="1">
        <f t="array" ref="K175" xml:space="preserve"> SUMPRODUCT( --( co_scalarInfo[[#This Row],[scalarName]] = scalarDataframe[scalarName] ) )</f>
        <v>1</v>
      </c>
      <c r="R175" s="17"/>
      <c r="S175" s="17"/>
      <c r="T175" s="17"/>
    </row>
    <row r="176" spans="1:21" ht="15" x14ac:dyDescent="0.25">
      <c r="B176" s="16">
        <f xml:space="preserve"> ROW( co_scalarInfo[[#This Row],[row_id]] ) - ROW( co_scalarInfo[[#Headers],[row_id]] )</f>
        <v>8</v>
      </c>
      <c r="C176" s="74" t="s">
        <v>1010</v>
      </c>
      <c r="D176" s="74" t="s">
        <v>767</v>
      </c>
      <c r="E176" s="178" t="s">
        <v>814</v>
      </c>
      <c r="F176" s="178" t="s">
        <v>785</v>
      </c>
      <c r="G176" s="178" t="s">
        <v>893</v>
      </c>
      <c r="H176" s="178">
        <v>2015</v>
      </c>
      <c r="I176" s="179" t="s">
        <v>910</v>
      </c>
      <c r="J176" s="91"/>
      <c r="K176" s="91" cm="1">
        <f t="array" ref="K176" xml:space="preserve"> SUMPRODUCT( --( co_scalarInfo[[#This Row],[scalarName]] = scalarDataframe[scalarName] ) )</f>
        <v>1</v>
      </c>
      <c r="R176" s="17"/>
      <c r="S176" s="17"/>
      <c r="T176" s="17"/>
    </row>
    <row r="177" spans="2:20" ht="22.5" x14ac:dyDescent="0.25">
      <c r="B177" s="180">
        <f xml:space="preserve"> ROW( co_scalarInfo[[#This Row],[row_id]] ) - ROW( co_scalarInfo[[#Headers],[row_id]] )</f>
        <v>9</v>
      </c>
      <c r="C177" s="81" t="s">
        <v>812</v>
      </c>
      <c r="D177" s="74" t="s">
        <v>791</v>
      </c>
      <c r="E177" s="178" t="s">
        <v>814</v>
      </c>
      <c r="F177" s="178" t="s">
        <v>785</v>
      </c>
      <c r="G177" s="178" t="s">
        <v>893</v>
      </c>
      <c r="H177" s="178">
        <v>2015</v>
      </c>
      <c r="I177" s="179" t="s">
        <v>910</v>
      </c>
      <c r="J177" s="91"/>
      <c r="K177" s="91" cm="1">
        <f t="array" ref="K177" xml:space="preserve"> SUMPRODUCT( --( co_scalarInfo[[#This Row],[scalarName]] = scalarDataframe[scalarName] ) )</f>
        <v>1</v>
      </c>
      <c r="R177" s="17"/>
      <c r="S177" s="17"/>
      <c r="T177" s="17"/>
    </row>
    <row r="178" spans="2:20" ht="22.5" x14ac:dyDescent="0.2">
      <c r="B178" s="180">
        <f xml:space="preserve"> ROW( co_scalarInfo[[#This Row],[row_id]] ) - ROW( co_scalarInfo[[#Headers],[row_id]] )</f>
        <v>10</v>
      </c>
      <c r="C178" s="81" t="s">
        <v>788</v>
      </c>
      <c r="D178" s="74" t="s">
        <v>787</v>
      </c>
      <c r="E178" s="178" t="s">
        <v>814</v>
      </c>
      <c r="F178" s="178" t="s">
        <v>785</v>
      </c>
      <c r="G178" s="178" t="s">
        <v>893</v>
      </c>
      <c r="H178" s="178">
        <v>2015</v>
      </c>
      <c r="I178" s="179" t="s">
        <v>910</v>
      </c>
      <c r="J178" s="91"/>
      <c r="K178" s="91" cm="1">
        <f t="array" ref="K178" xml:space="preserve"> SUMPRODUCT( --( co_scalarInfo[[#This Row],[scalarName]] = scalarDataframe[scalarName] ) )</f>
        <v>1</v>
      </c>
    </row>
    <row r="179" spans="2:20" ht="22.5" x14ac:dyDescent="0.2">
      <c r="B179" s="180">
        <f xml:space="preserve"> ROW( co_scalarInfo[[#This Row],[row_id]] ) - ROW( co_scalarInfo[[#Headers],[row_id]] )</f>
        <v>11</v>
      </c>
      <c r="C179" s="81" t="s">
        <v>789</v>
      </c>
      <c r="D179" s="74" t="s">
        <v>790</v>
      </c>
      <c r="E179" s="178" t="s">
        <v>814</v>
      </c>
      <c r="F179" s="178" t="s">
        <v>785</v>
      </c>
      <c r="G179" s="178" t="s">
        <v>893</v>
      </c>
      <c r="H179" s="178">
        <v>2015</v>
      </c>
      <c r="I179" s="179" t="s">
        <v>910</v>
      </c>
      <c r="J179" s="91"/>
      <c r="K179" s="91" cm="1">
        <f t="array" ref="K179" xml:space="preserve"> SUMPRODUCT( --( co_scalarInfo[[#This Row],[scalarName]] = scalarDataframe[scalarName] ) )</f>
        <v>1</v>
      </c>
    </row>
    <row r="180" spans="2:20" x14ac:dyDescent="0.2">
      <c r="B180" s="180">
        <f xml:space="preserve"> ROW( co_scalarInfo[[#This Row],[row_id]] ) - ROW( co_scalarInfo[[#Headers],[row_id]] )</f>
        <v>12</v>
      </c>
      <c r="C180" s="81" t="s">
        <v>256</v>
      </c>
      <c r="D180" s="74" t="s">
        <v>915</v>
      </c>
      <c r="E180" s="178" t="s">
        <v>814</v>
      </c>
      <c r="F180" s="178" t="s">
        <v>785</v>
      </c>
      <c r="G180" s="178" t="s">
        <v>893</v>
      </c>
      <c r="H180" s="182" t="s">
        <v>201</v>
      </c>
      <c r="I180" s="183" t="s">
        <v>912</v>
      </c>
      <c r="J180" s="91" t="s">
        <v>916</v>
      </c>
      <c r="K180" s="91" cm="1">
        <f t="array" ref="K180" xml:space="preserve"> SUMPRODUCT( --( co_scalarInfo[[#This Row],[scalarName]] = scalarDataframe[scalarName] ) )</f>
        <v>0</v>
      </c>
    </row>
    <row r="181" spans="2:20" x14ac:dyDescent="0.2">
      <c r="B181" s="180">
        <f xml:space="preserve"> ROW( co_scalarInfo[[#This Row],[row_id]] ) - ROW( co_scalarInfo[[#Headers],[row_id]] )</f>
        <v>13</v>
      </c>
      <c r="C181" s="81" t="s">
        <v>1225</v>
      </c>
      <c r="D181" s="74" t="s">
        <v>1226</v>
      </c>
      <c r="E181" s="178" t="s">
        <v>814</v>
      </c>
      <c r="F181" s="178" t="s">
        <v>785</v>
      </c>
      <c r="G181" s="178" t="s">
        <v>894</v>
      </c>
      <c r="H181" s="181">
        <v>2015</v>
      </c>
      <c r="I181" s="183"/>
      <c r="J181" s="91"/>
      <c r="K181" s="184" cm="1">
        <f t="array" ref="K181" xml:space="preserve"> SUMPRODUCT( --( co_scalarInfo[[#This Row],[scalarName]] = scalarDataframe[scalarName] ) )</f>
        <v>7</v>
      </c>
    </row>
    <row r="182" spans="2:20" ht="22.5" x14ac:dyDescent="0.2">
      <c r="B182" s="180">
        <f xml:space="preserve"> ROW( co_scalarInfo[[#This Row],[row_id]] ) - ROW( co_scalarInfo[[#Headers],[row_id]] )</f>
        <v>14</v>
      </c>
      <c r="C182" s="81" t="s">
        <v>991</v>
      </c>
      <c r="D182" s="74" t="s">
        <v>993</v>
      </c>
      <c r="E182" s="178" t="s">
        <v>814</v>
      </c>
      <c r="F182" s="178" t="s">
        <v>785</v>
      </c>
      <c r="G182" s="178" t="s">
        <v>893</v>
      </c>
      <c r="H182" s="181" t="s">
        <v>946</v>
      </c>
      <c r="I182" s="179" t="s">
        <v>910</v>
      </c>
      <c r="J182" s="91"/>
      <c r="K182" s="91" cm="1">
        <f t="array" ref="K182" xml:space="preserve"> SUMPRODUCT( --( co_scalarInfo[[#This Row],[scalarName]] = scalarDataframe[scalarName] ) )</f>
        <v>1</v>
      </c>
    </row>
    <row r="183" spans="2:20" x14ac:dyDescent="0.2">
      <c r="B183" s="180">
        <f xml:space="preserve"> ROW( co_scalarInfo[[#This Row],[row_id]] ) - ROW( co_scalarInfo[[#Headers],[row_id]] )</f>
        <v>15</v>
      </c>
      <c r="C183" s="81" t="s">
        <v>1227</v>
      </c>
      <c r="D183" s="74" t="s">
        <v>1228</v>
      </c>
      <c r="E183" s="178" t="s">
        <v>814</v>
      </c>
      <c r="F183" s="178" t="s">
        <v>785</v>
      </c>
      <c r="G183" s="178" t="s">
        <v>894</v>
      </c>
      <c r="H183" s="181">
        <v>2015</v>
      </c>
      <c r="I183" s="183"/>
      <c r="J183" s="91"/>
      <c r="K183" s="184" cm="1">
        <f t="array" ref="K183" xml:space="preserve"> SUMPRODUCT( --( co_scalarInfo[[#This Row],[scalarName]] = scalarDataframe[scalarName] ) )</f>
        <v>7</v>
      </c>
    </row>
    <row r="184" spans="2:20" x14ac:dyDescent="0.2">
      <c r="B184" s="16">
        <f xml:space="preserve"> ROW( co_scalarInfo[[#This Row],[row_id]] ) - ROW( co_scalarInfo[[#Headers],[row_id]] )</f>
        <v>16</v>
      </c>
      <c r="C184" s="74" t="s">
        <v>786</v>
      </c>
      <c r="D184" s="74" t="s">
        <v>18</v>
      </c>
      <c r="E184" s="178" t="s">
        <v>814</v>
      </c>
      <c r="F184" s="178" t="s">
        <v>785</v>
      </c>
      <c r="G184" s="178" t="s">
        <v>893</v>
      </c>
      <c r="H184" s="178">
        <v>2010</v>
      </c>
      <c r="I184" s="179" t="s">
        <v>910</v>
      </c>
      <c r="J184" s="91"/>
      <c r="K184" s="91" cm="1">
        <f t="array" ref="K184" xml:space="preserve"> SUMPRODUCT( --( co_scalarInfo[[#This Row],[scalarName]] = scalarDataframe[scalarName] ) )</f>
        <v>1</v>
      </c>
    </row>
    <row r="185" spans="2:20" x14ac:dyDescent="0.2">
      <c r="B185" s="180">
        <f xml:space="preserve"> ROW( co_scalarInfo[[#This Row],[row_id]] ) - ROW( co_scalarInfo[[#Headers],[row_id]] )</f>
        <v>17</v>
      </c>
      <c r="C185" s="81" t="s">
        <v>771</v>
      </c>
      <c r="D185" s="74" t="s">
        <v>770</v>
      </c>
      <c r="E185" s="178" t="s">
        <v>814</v>
      </c>
      <c r="F185" s="178" t="s">
        <v>785</v>
      </c>
      <c r="G185" s="178" t="s">
        <v>894</v>
      </c>
      <c r="H185" s="178">
        <v>2015</v>
      </c>
      <c r="I185" s="179" t="s">
        <v>910</v>
      </c>
      <c r="J185" s="91"/>
      <c r="K185" s="91" cm="1">
        <f t="array" ref="K185" xml:space="preserve"> SUMPRODUCT( --( co_scalarInfo[[#This Row],[scalarName]] = scalarDataframe[scalarName] ) )</f>
        <v>7</v>
      </c>
    </row>
    <row r="186" spans="2:20" x14ac:dyDescent="0.2">
      <c r="B186" s="180">
        <f xml:space="preserve"> ROW( co_scalarInfo[[#This Row],[row_id]] ) - ROW( co_scalarInfo[[#Headers],[row_id]] )</f>
        <v>18</v>
      </c>
      <c r="C186" s="81" t="s">
        <v>258</v>
      </c>
      <c r="D186" s="74" t="s">
        <v>793</v>
      </c>
      <c r="E186" s="178" t="s">
        <v>834</v>
      </c>
      <c r="F186" s="178" t="s">
        <v>895</v>
      </c>
      <c r="G186" s="178" t="s">
        <v>894</v>
      </c>
      <c r="H186" s="181" t="s">
        <v>946</v>
      </c>
      <c r="I186" s="179" t="s">
        <v>910</v>
      </c>
      <c r="J186" s="91"/>
      <c r="K186" s="91" cm="1">
        <f t="array" ref="K186" xml:space="preserve"> SUMPRODUCT( --( co_scalarInfo[[#This Row],[scalarName]] = scalarDataframe[scalarName] ) )</f>
        <v>42</v>
      </c>
    </row>
    <row r="187" spans="2:20" x14ac:dyDescent="0.2">
      <c r="B187" s="180">
        <f xml:space="preserve"> ROW( co_scalarInfo[[#This Row],[row_id]] ) - ROW( co_scalarInfo[[#Headers],[row_id]] )</f>
        <v>19</v>
      </c>
      <c r="C187" s="81" t="s">
        <v>256</v>
      </c>
      <c r="D187" s="74" t="s">
        <v>915</v>
      </c>
      <c r="E187" s="178" t="s">
        <v>834</v>
      </c>
      <c r="F187" s="178" t="s">
        <v>785</v>
      </c>
      <c r="G187" s="178" t="s">
        <v>893</v>
      </c>
      <c r="H187" s="182" t="s">
        <v>201</v>
      </c>
      <c r="I187" s="183" t="s">
        <v>912</v>
      </c>
      <c r="J187" s="91" t="s">
        <v>916</v>
      </c>
      <c r="K187" s="91" cm="1">
        <f t="array" ref="K187" xml:space="preserve"> SUMPRODUCT( --( co_scalarInfo[[#This Row],[scalarName]] = scalarDataframe[scalarName] ) )</f>
        <v>0</v>
      </c>
    </row>
    <row r="188" spans="2:20" x14ac:dyDescent="0.2">
      <c r="B188" s="180">
        <f xml:space="preserve"> ROW( co_scalarInfo[[#This Row],[row_id]] ) - ROW( co_scalarInfo[[#Headers],[row_id]] )</f>
        <v>20</v>
      </c>
      <c r="C188" s="81" t="s">
        <v>259</v>
      </c>
      <c r="D188" s="74" t="s">
        <v>795</v>
      </c>
      <c r="E188" s="178" t="s">
        <v>834</v>
      </c>
      <c r="F188" s="178" t="s">
        <v>895</v>
      </c>
      <c r="G188" s="178" t="s">
        <v>894</v>
      </c>
      <c r="H188" s="181" t="s">
        <v>946</v>
      </c>
      <c r="I188" s="179" t="s">
        <v>910</v>
      </c>
      <c r="J188" s="91"/>
      <c r="K188" s="91" cm="1">
        <f t="array" ref="K188" xml:space="preserve"> SUMPRODUCT( --( co_scalarInfo[[#This Row],[scalarName]] = scalarDataframe[scalarName] ) )</f>
        <v>140</v>
      </c>
    </row>
    <row r="189" spans="2:20" ht="22.5" x14ac:dyDescent="0.2">
      <c r="B189" s="180">
        <f xml:space="preserve"> ROW( co_scalarInfo[[#This Row],[row_id]] ) - ROW( co_scalarInfo[[#Headers],[row_id]] )</f>
        <v>21</v>
      </c>
      <c r="C189" s="81" t="s">
        <v>1011</v>
      </c>
      <c r="D189" s="74" t="s">
        <v>986</v>
      </c>
      <c r="E189" s="178" t="s">
        <v>834</v>
      </c>
      <c r="F189" s="178" t="s">
        <v>785</v>
      </c>
      <c r="G189" s="178" t="s">
        <v>893</v>
      </c>
      <c r="H189" s="181" t="s">
        <v>946</v>
      </c>
      <c r="I189" s="179" t="s">
        <v>910</v>
      </c>
      <c r="J189" s="91"/>
      <c r="K189" s="91" cm="1">
        <f t="array" ref="K189" xml:space="preserve"> SUMPRODUCT( --( co_scalarInfo[[#This Row],[scalarName]] = scalarDataframe[scalarName] ) )</f>
        <v>1</v>
      </c>
    </row>
    <row r="190" spans="2:20" ht="22.5" x14ac:dyDescent="0.2">
      <c r="B190" s="180">
        <f xml:space="preserve"> ROW( co_scalarInfo[[#This Row],[row_id]] ) - ROW( co_scalarInfo[[#Headers],[row_id]] )</f>
        <v>22</v>
      </c>
      <c r="C190" s="81" t="s">
        <v>988</v>
      </c>
      <c r="D190" s="74" t="s">
        <v>985</v>
      </c>
      <c r="E190" s="178" t="s">
        <v>834</v>
      </c>
      <c r="F190" s="178" t="s">
        <v>785</v>
      </c>
      <c r="G190" s="178" t="s">
        <v>893</v>
      </c>
      <c r="H190" s="181" t="s">
        <v>946</v>
      </c>
      <c r="I190" s="179" t="s">
        <v>910</v>
      </c>
      <c r="J190" s="91"/>
      <c r="K190" s="91" cm="1">
        <f t="array" ref="K190" xml:space="preserve"> SUMPRODUCT( --( co_scalarInfo[[#This Row],[scalarName]] = scalarDataframe[scalarName] ) )</f>
        <v>1</v>
      </c>
    </row>
    <row r="191" spans="2:20" ht="22.5" x14ac:dyDescent="0.2">
      <c r="B191" s="180">
        <f xml:space="preserve"> ROW( co_scalarInfo[[#This Row],[row_id]] ) - ROW( co_scalarInfo[[#Headers],[row_id]] )</f>
        <v>23</v>
      </c>
      <c r="C191" s="81" t="s">
        <v>989</v>
      </c>
      <c r="D191" s="74" t="s">
        <v>987</v>
      </c>
      <c r="E191" s="178" t="s">
        <v>834</v>
      </c>
      <c r="F191" s="178" t="s">
        <v>785</v>
      </c>
      <c r="G191" s="178" t="s">
        <v>893</v>
      </c>
      <c r="H191" s="181" t="s">
        <v>946</v>
      </c>
      <c r="I191" s="179" t="s">
        <v>910</v>
      </c>
      <c r="J191" s="91"/>
      <c r="K191" s="91" cm="1">
        <f t="array" ref="K191" xml:space="preserve"> SUMPRODUCT( --( co_scalarInfo[[#This Row],[scalarName]] = scalarDataframe[scalarName] ) )</f>
        <v>1</v>
      </c>
    </row>
    <row r="192" spans="2:20" x14ac:dyDescent="0.2">
      <c r="B192" s="180">
        <f xml:space="preserve"> ROW( co_scalarInfo[[#This Row],[row_id]] ) - ROW( co_scalarInfo[[#Headers],[row_id]] )</f>
        <v>24</v>
      </c>
      <c r="C192" s="81" t="s">
        <v>1009</v>
      </c>
      <c r="D192" s="74" t="s">
        <v>1008</v>
      </c>
      <c r="E192" s="178" t="s">
        <v>816</v>
      </c>
      <c r="F192" s="178" t="s">
        <v>895</v>
      </c>
      <c r="G192" s="178" t="s">
        <v>894</v>
      </c>
      <c r="H192" s="181" t="s">
        <v>946</v>
      </c>
      <c r="I192" s="179" t="s">
        <v>910</v>
      </c>
      <c r="J192" s="91"/>
      <c r="K192" s="91" cm="1">
        <f t="array" ref="K192" xml:space="preserve"> SUMPRODUCT( --( co_scalarInfo[[#This Row],[scalarName]] = scalarDataframe[scalarName] ) )</f>
        <v>136</v>
      </c>
    </row>
    <row r="193" spans="1:21" x14ac:dyDescent="0.2">
      <c r="B193" s="180">
        <f xml:space="preserve"> ROW( co_scalarInfo[[#This Row],[row_id]] ) - ROW( co_scalarInfo[[#Headers],[row_id]] )</f>
        <v>25</v>
      </c>
      <c r="C193" s="81" t="s">
        <v>759</v>
      </c>
      <c r="D193" s="74" t="s">
        <v>758</v>
      </c>
      <c r="E193" s="178" t="s">
        <v>816</v>
      </c>
      <c r="F193" s="178" t="s">
        <v>895</v>
      </c>
      <c r="G193" s="178" t="s">
        <v>894</v>
      </c>
      <c r="H193" s="181" t="s">
        <v>946</v>
      </c>
      <c r="I193" s="179" t="s">
        <v>910</v>
      </c>
      <c r="J193" s="91"/>
      <c r="K193" s="91" cm="1">
        <f t="array" ref="K193" xml:space="preserve"> SUMPRODUCT( --( co_scalarInfo[[#This Row],[scalarName]] = scalarDataframe[scalarName] ) )</f>
        <v>119</v>
      </c>
    </row>
    <row r="194" spans="1:21" x14ac:dyDescent="0.2">
      <c r="B194" s="180">
        <f xml:space="preserve"> ROW( co_scalarInfo[[#This Row],[row_id]] ) - ROW( co_scalarInfo[[#Headers],[row_id]] )</f>
        <v>26</v>
      </c>
      <c r="C194" s="81" t="s">
        <v>256</v>
      </c>
      <c r="D194" s="74" t="s">
        <v>915</v>
      </c>
      <c r="E194" s="178" t="s">
        <v>816</v>
      </c>
      <c r="F194" s="178" t="s">
        <v>785</v>
      </c>
      <c r="G194" s="178" t="s">
        <v>893</v>
      </c>
      <c r="H194" s="182" t="s">
        <v>201</v>
      </c>
      <c r="I194" s="183" t="s">
        <v>912</v>
      </c>
      <c r="J194" s="91" t="s">
        <v>916</v>
      </c>
      <c r="K194" s="91" cm="1">
        <f t="array" ref="K194" xml:space="preserve"> SUMPRODUCT( --( co_scalarInfo[[#This Row],[scalarName]] = scalarDataframe[scalarName] ) )</f>
        <v>0</v>
      </c>
    </row>
    <row r="195" spans="1:21" x14ac:dyDescent="0.2">
      <c r="B195" s="180">
        <f xml:space="preserve"> ROW( co_scalarInfo[[#This Row],[row_id]] ) - ROW( co_scalarInfo[[#Headers],[row_id]] )</f>
        <v>27</v>
      </c>
      <c r="C195" s="81" t="s">
        <v>236</v>
      </c>
      <c r="D195" s="74" t="s">
        <v>215</v>
      </c>
      <c r="E195" s="178" t="s">
        <v>816</v>
      </c>
      <c r="F195" s="178" t="s">
        <v>785</v>
      </c>
      <c r="G195" s="178" t="s">
        <v>894</v>
      </c>
      <c r="H195" s="181" t="s">
        <v>946</v>
      </c>
      <c r="I195" s="179" t="s">
        <v>910</v>
      </c>
      <c r="J195" s="91"/>
      <c r="K195" s="91" cm="1">
        <f t="array" ref="K195" xml:space="preserve"> SUMPRODUCT( --( co_scalarInfo[[#This Row],[scalarName]] = scalarDataframe[scalarName] ) )</f>
        <v>8</v>
      </c>
    </row>
    <row r="196" spans="1:21" x14ac:dyDescent="0.2">
      <c r="B196" s="180">
        <f xml:space="preserve"> ROW( co_scalarInfo[[#This Row],[row_id]] ) - ROW( co_scalarInfo[[#Headers],[row_id]] )</f>
        <v>28</v>
      </c>
      <c r="C196" s="81" t="s">
        <v>251</v>
      </c>
      <c r="D196" s="74" t="s">
        <v>211</v>
      </c>
      <c r="E196" s="178" t="s">
        <v>816</v>
      </c>
      <c r="F196" s="178" t="s">
        <v>895</v>
      </c>
      <c r="G196" s="178" t="s">
        <v>894</v>
      </c>
      <c r="H196" s="181" t="s">
        <v>946</v>
      </c>
      <c r="I196" s="179" t="s">
        <v>911</v>
      </c>
      <c r="J196" s="91"/>
      <c r="K196" s="91" cm="1">
        <f t="array" ref="K196" xml:space="preserve"> SUMPRODUCT( --( co_scalarInfo[[#This Row],[scalarName]] = scalarDataframe[scalarName] ) )</f>
        <v>0</v>
      </c>
    </row>
    <row r="197" spans="1:21" x14ac:dyDescent="0.2">
      <c r="B197" s="180">
        <f xml:space="preserve"> ROW( co_scalarInfo[[#This Row],[row_id]] ) - ROW( co_scalarInfo[[#Headers],[row_id]] )</f>
        <v>29</v>
      </c>
      <c r="C197" s="81" t="s">
        <v>250</v>
      </c>
      <c r="D197" s="74" t="s">
        <v>797</v>
      </c>
      <c r="E197" s="178" t="s">
        <v>816</v>
      </c>
      <c r="F197" s="178" t="s">
        <v>785</v>
      </c>
      <c r="G197" s="178" t="s">
        <v>894</v>
      </c>
      <c r="H197" s="181" t="s">
        <v>946</v>
      </c>
      <c r="I197" s="179" t="s">
        <v>910</v>
      </c>
      <c r="J197" s="91"/>
      <c r="K197" s="91" cm="1">
        <f t="array" ref="K197" xml:space="preserve"> SUMPRODUCT( --( co_scalarInfo[[#This Row],[scalarName]] = scalarDataframe[scalarName] ) )</f>
        <v>7</v>
      </c>
    </row>
    <row r="200" spans="1:21" ht="15" x14ac:dyDescent="0.25">
      <c r="A200" s="63"/>
      <c r="B200" s="64" t="s">
        <v>1029</v>
      </c>
      <c r="C200" s="64"/>
      <c r="D200" s="64"/>
      <c r="E200" s="64"/>
      <c r="F200" s="64"/>
      <c r="G200" s="64"/>
      <c r="H200" s="64"/>
      <c r="I200" s="64"/>
      <c r="J200" s="64"/>
      <c r="K200" s="64"/>
      <c r="L200" s="64"/>
      <c r="M200" s="64"/>
      <c r="N200" s="64"/>
      <c r="O200" s="64"/>
      <c r="P200" s="64"/>
      <c r="Q200" s="64"/>
      <c r="R200" s="64"/>
      <c r="S200" s="64"/>
      <c r="T200" s="64"/>
      <c r="U200" s="64"/>
    </row>
    <row r="202" spans="1:21" x14ac:dyDescent="0.2">
      <c r="B202" s="78" t="s">
        <v>780</v>
      </c>
      <c r="C202" s="78" t="s">
        <v>917</v>
      </c>
      <c r="D202" s="78" t="s">
        <v>944</v>
      </c>
      <c r="E202" s="79" t="s">
        <v>817</v>
      </c>
    </row>
    <row r="203" spans="1:21" x14ac:dyDescent="0.2">
      <c r="B203" s="8">
        <f xml:space="preserve"> ROW( co_econMultipliers[[#This Row],[row_id]] ) - ROW( co_econMultipliers[[#Headers],[row_id]] )</f>
        <v>1</v>
      </c>
      <c r="C203" s="19" t="s">
        <v>904</v>
      </c>
      <c r="D203" s="103" t="s">
        <v>913</v>
      </c>
      <c r="E203" s="105">
        <v>2015</v>
      </c>
    </row>
    <row r="204" spans="1:21" x14ac:dyDescent="0.2">
      <c r="B204" s="8">
        <f xml:space="preserve"> ROW( co_econMultipliers[[#This Row],[row_id]] ) - ROW( co_econMultipliers[[#Headers],[row_id]] )</f>
        <v>2</v>
      </c>
      <c r="C204" s="19" t="s">
        <v>257</v>
      </c>
      <c r="D204" s="103" t="s">
        <v>914</v>
      </c>
      <c r="E204" s="105" t="s">
        <v>201</v>
      </c>
    </row>
    <row r="205" spans="1:21" x14ac:dyDescent="0.2">
      <c r="B205" s="8">
        <f xml:space="preserve"> ROW( co_econMultipliers[[#This Row],[row_id]] ) - ROW( co_econMultipliers[[#Headers],[row_id]] )</f>
        <v>3</v>
      </c>
      <c r="C205" s="19" t="s">
        <v>256</v>
      </c>
      <c r="D205" s="103" t="s">
        <v>915</v>
      </c>
      <c r="E205" s="105" t="s">
        <v>201</v>
      </c>
    </row>
    <row r="208" spans="1:21" ht="15" x14ac:dyDescent="0.25">
      <c r="A208" s="63"/>
      <c r="B208" s="64" t="s">
        <v>1030</v>
      </c>
      <c r="C208" s="64"/>
      <c r="D208" s="64"/>
      <c r="E208" s="64"/>
      <c r="F208" s="64"/>
      <c r="G208" s="64"/>
      <c r="H208" s="64"/>
      <c r="I208" s="64"/>
      <c r="J208" s="64"/>
      <c r="K208" s="64"/>
      <c r="L208" s="64"/>
      <c r="M208" s="64"/>
      <c r="N208" s="64"/>
      <c r="O208" s="64"/>
      <c r="P208" s="64"/>
      <c r="Q208" s="64"/>
      <c r="R208" s="64"/>
      <c r="S208" s="64"/>
      <c r="T208" s="64"/>
      <c r="U208" s="64"/>
    </row>
    <row r="210" spans="1:21" x14ac:dyDescent="0.2">
      <c r="B210" s="78" t="s">
        <v>780</v>
      </c>
      <c r="C210" s="78" t="s">
        <v>785</v>
      </c>
      <c r="D210" s="78" t="s">
        <v>255</v>
      </c>
    </row>
    <row r="211" spans="1:21" x14ac:dyDescent="0.2">
      <c r="B211" s="8">
        <f xml:space="preserve"> ROW( co_constants[[#This Row],[row_id]] ) - ROW( co_constants[[#Headers],[row_id]] )</f>
        <v>1</v>
      </c>
      <c r="C211" s="19" t="s">
        <v>782</v>
      </c>
      <c r="D211" s="103">
        <f xml:space="preserve"> 10^9</f>
        <v>1000000000</v>
      </c>
    </row>
    <row r="212" spans="1:21" x14ac:dyDescent="0.2">
      <c r="B212" s="8">
        <f xml:space="preserve"> ROW( co_constants[[#This Row],[row_id]] ) - ROW( co_constants[[#Headers],[row_id]] )</f>
        <v>2</v>
      </c>
      <c r="C212" s="19" t="s">
        <v>783</v>
      </c>
      <c r="D212" s="103">
        <f xml:space="preserve"> 10^6</f>
        <v>1000000</v>
      </c>
    </row>
    <row r="213" spans="1:21" x14ac:dyDescent="0.2">
      <c r="B213" s="8">
        <f xml:space="preserve"> ROW( co_constants[[#This Row],[row_id]] ) - ROW( co_constants[[#Headers],[row_id]] )</f>
        <v>3</v>
      </c>
      <c r="C213" s="19" t="s">
        <v>784</v>
      </c>
      <c r="D213" s="103">
        <v>1000</v>
      </c>
    </row>
    <row r="216" spans="1:21" ht="15" x14ac:dyDescent="0.25">
      <c r="A216" s="63"/>
      <c r="B216" s="64" t="s">
        <v>1027</v>
      </c>
      <c r="C216" s="64"/>
      <c r="D216" s="64"/>
      <c r="E216" s="64"/>
      <c r="F216" s="64"/>
      <c r="G216" s="64"/>
      <c r="H216" s="64"/>
      <c r="I216" s="64"/>
      <c r="J216" s="64"/>
      <c r="K216" s="64"/>
      <c r="L216" s="64"/>
      <c r="M216" s="64"/>
      <c r="N216" s="64"/>
      <c r="O216" s="64"/>
      <c r="P216" s="64"/>
      <c r="Q216" s="64"/>
      <c r="R216" s="64"/>
      <c r="S216" s="64"/>
      <c r="T216" s="64"/>
      <c r="U216" s="64"/>
    </row>
    <row r="218" spans="1:21" x14ac:dyDescent="0.2">
      <c r="B218" s="94" t="s">
        <v>780</v>
      </c>
      <c r="C218" s="94" t="s">
        <v>959</v>
      </c>
      <c r="D218" s="94" t="s">
        <v>960</v>
      </c>
      <c r="E218" s="95" t="s">
        <v>966</v>
      </c>
      <c r="F218" s="95" t="s">
        <v>968</v>
      </c>
      <c r="G218" s="96" t="s">
        <v>964</v>
      </c>
      <c r="H218" s="96" t="s">
        <v>965</v>
      </c>
      <c r="I218" s="97" t="s">
        <v>973</v>
      </c>
      <c r="J218" s="97" t="s">
        <v>979</v>
      </c>
      <c r="K218" s="92" t="s">
        <v>980</v>
      </c>
      <c r="L218" s="92" t="s">
        <v>974</v>
      </c>
      <c r="M218" s="93" t="s">
        <v>978</v>
      </c>
      <c r="N218" s="93" t="s">
        <v>977</v>
      </c>
    </row>
    <row r="219" spans="1:21" x14ac:dyDescent="0.2">
      <c r="B219" s="8">
        <f xml:space="preserve"> ROW( co_modelTypes[[#This Row],[row_id]] ) - ROW( co_modelTypes[[#Headers],[row_id]] )</f>
        <v>1</v>
      </c>
      <c r="C219" s="19" t="s">
        <v>819</v>
      </c>
      <c r="D219" s="19" t="s">
        <v>958</v>
      </c>
      <c r="E219" s="98" t="s">
        <v>967</v>
      </c>
      <c r="F219" s="98" t="s">
        <v>962</v>
      </c>
      <c r="G219" s="99" t="s">
        <v>956</v>
      </c>
      <c r="H219" s="99" t="s">
        <v>957</v>
      </c>
      <c r="I219" s="100">
        <v>1995</v>
      </c>
      <c r="J219" s="100">
        <v>6</v>
      </c>
      <c r="K219" s="101">
        <v>30</v>
      </c>
      <c r="L219" s="101">
        <v>1</v>
      </c>
      <c r="M219" s="40">
        <v>7</v>
      </c>
      <c r="N219" s="40" cm="1">
        <f t="array" ref="N219" xml:space="preserve"> SUMPRODUCT( --( co_models[modelType] = co_modelTypes[[#This Row],[modelType_id]] ) )</f>
        <v>8</v>
      </c>
    </row>
    <row r="220" spans="1:21" x14ac:dyDescent="0.2">
      <c r="B220" s="8">
        <f xml:space="preserve"> ROW( co_modelTypes[[#This Row],[row_id]] ) - ROW( co_modelTypes[[#Headers],[row_id]] )</f>
        <v>2</v>
      </c>
      <c r="C220" s="19" t="s">
        <v>818</v>
      </c>
      <c r="D220" s="19" t="s">
        <v>961</v>
      </c>
      <c r="E220" s="98" t="s">
        <v>963</v>
      </c>
      <c r="F220" s="98" t="s">
        <v>963</v>
      </c>
      <c r="G220" s="99" t="s">
        <v>818</v>
      </c>
      <c r="H220" s="99" t="s">
        <v>1062</v>
      </c>
      <c r="I220" s="100">
        <v>2000</v>
      </c>
      <c r="J220" s="100">
        <v>250</v>
      </c>
      <c r="K220" s="101">
        <v>1000</v>
      </c>
      <c r="L220" s="101">
        <v>25</v>
      </c>
      <c r="M220" s="40">
        <v>6</v>
      </c>
      <c r="N220" s="40" cm="1">
        <f t="array" ref="N220" xml:space="preserve"> SUMPRODUCT( --( co_models[modelType] = co_modelTypes[[#This Row],[modelType_id]] ) )</f>
        <v>6</v>
      </c>
    </row>
    <row r="223" spans="1:21" ht="15" x14ac:dyDescent="0.25">
      <c r="A223" s="63"/>
      <c r="B223" s="64" t="s">
        <v>1035</v>
      </c>
      <c r="C223" s="64"/>
      <c r="D223" s="64"/>
      <c r="E223" s="64"/>
      <c r="F223" s="64"/>
      <c r="G223" s="64"/>
      <c r="H223" s="64"/>
      <c r="I223" s="64"/>
      <c r="J223" s="64"/>
      <c r="K223" s="64"/>
      <c r="L223" s="64"/>
      <c r="M223" s="64"/>
      <c r="N223" s="64"/>
      <c r="O223" s="64"/>
      <c r="P223" s="64"/>
      <c r="Q223" s="64"/>
      <c r="R223" s="64"/>
      <c r="S223" s="64"/>
      <c r="T223" s="64"/>
      <c r="U223" s="64"/>
    </row>
    <row r="225" spans="2:7" x14ac:dyDescent="0.2">
      <c r="B225" s="102" t="s">
        <v>780</v>
      </c>
      <c r="C225" s="78" t="s">
        <v>905</v>
      </c>
      <c r="D225" s="78" t="s">
        <v>890</v>
      </c>
      <c r="E225" s="78" t="s">
        <v>906</v>
      </c>
      <c r="F225" s="79" t="s">
        <v>907</v>
      </c>
      <c r="G225" s="79" t="s">
        <v>955</v>
      </c>
    </row>
    <row r="226" spans="2:7" x14ac:dyDescent="0.2">
      <c r="B226" s="8">
        <f xml:space="preserve"> ROW( co_models[[#This Row],[row_id]] ) - ROW( co_models[[#Headers],[row_id]] )</f>
        <v>1</v>
      </c>
      <c r="C226" s="103" t="s">
        <v>0</v>
      </c>
      <c r="D226" s="103" t="s">
        <v>819</v>
      </c>
      <c r="E226" s="78" t="str">
        <f xml:space="preserve"> IF( co_models[[#This Row],[modelType]] = "gcm", SUBSTITUTE( SUBSTITUTE( co_models[[#This Row],[model_id]], " ", "." ), "-", "." ),
         VALUE( SUBSTITUTE( co_models[[#This Row],[model_id]], "p", "." ) ) * 100 &amp; "cm" )</f>
        <v>CanESM2</v>
      </c>
      <c r="F226" s="79" t="str">
        <f xml:space="preserve"> SUBSTITUTE( co_models[[#This Row],[model_dot]], ".", "_" )</f>
        <v>CanESM2</v>
      </c>
      <c r="G226" s="79" t="str">
        <f xml:space="preserve"> IF( co_models[[#This Row],[modelType]] = "gcm", co_models[[#This Row],[model_id]], SUBSTITUTE( co_models[[#This Row],[model_dot]], "cm", " cm" ) )</f>
        <v>CanESM2</v>
      </c>
    </row>
    <row r="227" spans="2:7" x14ac:dyDescent="0.2">
      <c r="B227" s="8">
        <f xml:space="preserve"> ROW( co_models[[#This Row],[row_id]] ) - ROW( co_models[[#Headers],[row_id]] )</f>
        <v>2</v>
      </c>
      <c r="C227" s="103" t="s">
        <v>1</v>
      </c>
      <c r="D227" s="103" t="s">
        <v>819</v>
      </c>
      <c r="E227" s="78" t="str">
        <f xml:space="preserve"> IF( co_models[[#This Row],[modelType]] = "gcm", SUBSTITUTE( SUBSTITUTE( co_models[[#This Row],[model_id]], " ", "." ), "-", "." ),
         VALUE( SUBSTITUTE( co_models[[#This Row],[model_id]], "p", "." ) ) * 100 &amp; "cm" )</f>
        <v>CCSM4</v>
      </c>
      <c r="F227" s="79" t="str">
        <f xml:space="preserve"> SUBSTITUTE( co_models[[#This Row],[model_dot]], ".", "_" )</f>
        <v>CCSM4</v>
      </c>
      <c r="G227" s="79" t="str">
        <f xml:space="preserve"> IF( co_models[[#This Row],[modelType]] = "gcm", co_models[[#This Row],[model_id]], SUBSTITUTE( co_models[[#This Row],[model_dot]], "cm", " cm" ) )</f>
        <v>CCSM4</v>
      </c>
    </row>
    <row r="228" spans="2:7" x14ac:dyDescent="0.2">
      <c r="B228" s="8">
        <f xml:space="preserve"> ROW( co_models[[#This Row],[row_id]] ) - ROW( co_models[[#Headers],[row_id]] )</f>
        <v>3</v>
      </c>
      <c r="C228" s="103" t="s">
        <v>2</v>
      </c>
      <c r="D228" s="103" t="s">
        <v>819</v>
      </c>
      <c r="E228" s="78" t="str">
        <f xml:space="preserve"> IF( co_models[[#This Row],[modelType]] = "gcm", SUBSTITUTE( SUBSTITUTE( co_models[[#This Row],[model_id]], " ", "." ), "-", "." ),
         VALUE( SUBSTITUTE( co_models[[#This Row],[model_id]], "p", "." ) ) * 100 &amp; "cm" )</f>
        <v>GISS.E2.R</v>
      </c>
      <c r="F228" s="79" t="str">
        <f xml:space="preserve"> SUBSTITUTE( co_models[[#This Row],[model_dot]], ".", "_" )</f>
        <v>GISS_E2_R</v>
      </c>
      <c r="G228" s="79" t="str">
        <f xml:space="preserve"> IF( co_models[[#This Row],[modelType]] = "gcm", co_models[[#This Row],[model_id]], SUBSTITUTE( co_models[[#This Row],[model_dot]], "cm", " cm" ) )</f>
        <v>GISS-E2-R</v>
      </c>
    </row>
    <row r="229" spans="2:7" x14ac:dyDescent="0.2">
      <c r="B229" s="8">
        <f xml:space="preserve"> ROW( co_models[[#This Row],[row_id]] ) - ROW( co_models[[#Headers],[row_id]] )</f>
        <v>4</v>
      </c>
      <c r="C229" s="103" t="s">
        <v>3</v>
      </c>
      <c r="D229" s="103" t="s">
        <v>819</v>
      </c>
      <c r="E229" s="78" t="str">
        <f xml:space="preserve"> IF( co_models[[#This Row],[modelType]] = "gcm", SUBSTITUTE( SUBSTITUTE( co_models[[#This Row],[model_id]], " ", "." ), "-", "." ),
         VALUE( SUBSTITUTE( co_models[[#This Row],[model_id]], "p", "." ) ) * 100 &amp; "cm" )</f>
        <v>HadGEM2.ES</v>
      </c>
      <c r="F229" s="79" t="str">
        <f xml:space="preserve"> SUBSTITUTE( co_models[[#This Row],[model_dot]], ".", "_" )</f>
        <v>HadGEM2_ES</v>
      </c>
      <c r="G229" s="79" t="str">
        <f xml:space="preserve"> IF( co_models[[#This Row],[modelType]] = "gcm", co_models[[#This Row],[model_id]], SUBSTITUTE( co_models[[#This Row],[model_dot]], "cm", " cm" ) )</f>
        <v>HadGEM2-ES</v>
      </c>
    </row>
    <row r="230" spans="2:7" x14ac:dyDescent="0.2">
      <c r="B230" s="8">
        <f xml:space="preserve"> ROW( co_models[[#This Row],[row_id]] ) - ROW( co_models[[#Headers],[row_id]] )</f>
        <v>5</v>
      </c>
      <c r="C230" s="103" t="s">
        <v>4</v>
      </c>
      <c r="D230" s="103" t="s">
        <v>819</v>
      </c>
      <c r="E230" s="78" t="str">
        <f xml:space="preserve"> IF( co_models[[#This Row],[modelType]] = "gcm", SUBSTITUTE( SUBSTITUTE( co_models[[#This Row],[model_id]], " ", "." ), "-", "." ),
         VALUE( SUBSTITUTE( co_models[[#This Row],[model_id]], "p", "." ) ) * 100 &amp; "cm" )</f>
        <v>MIROC5</v>
      </c>
      <c r="F230" s="79" t="str">
        <f xml:space="preserve"> SUBSTITUTE( co_models[[#This Row],[model_dot]], ".", "_" )</f>
        <v>MIROC5</v>
      </c>
      <c r="G230" s="79" t="str">
        <f xml:space="preserve"> IF( co_models[[#This Row],[modelType]] = "gcm", co_models[[#This Row],[model_id]], SUBSTITUTE( co_models[[#This Row],[model_dot]], "cm", " cm" ) )</f>
        <v>MIROC5</v>
      </c>
    </row>
    <row r="231" spans="2:7" x14ac:dyDescent="0.2">
      <c r="B231" s="8">
        <f xml:space="preserve"> ROW( co_models[[#This Row],[row_id]] ) - ROW( co_models[[#Headers],[row_id]] )</f>
        <v>6</v>
      </c>
      <c r="C231" s="103" t="s">
        <v>5</v>
      </c>
      <c r="D231" s="103" t="s">
        <v>819</v>
      </c>
      <c r="E231" s="78" t="str">
        <f xml:space="preserve"> IF( co_models[[#This Row],[modelType]] = "gcm", SUBSTITUTE( SUBSTITUTE( co_models[[#This Row],[model_id]], " ", "." ), "-", "." ),
         VALUE( SUBSTITUTE( co_models[[#This Row],[model_id]], "p", "." ) ) * 100 &amp; "cm" )</f>
        <v>GFDL.CM3</v>
      </c>
      <c r="F231" s="79" t="str">
        <f xml:space="preserve"> SUBSTITUTE( co_models[[#This Row],[model_dot]], ".", "_" )</f>
        <v>GFDL_CM3</v>
      </c>
      <c r="G231" s="79" t="str">
        <f xml:space="preserve"> IF( co_models[[#This Row],[modelType]] = "gcm", co_models[[#This Row],[model_id]], SUBSTITUTE( co_models[[#This Row],[model_dot]], "cm", " cm" ) )</f>
        <v>GFDL-CM3</v>
      </c>
    </row>
    <row r="232" spans="2:7" x14ac:dyDescent="0.2">
      <c r="B232" s="9">
        <f xml:space="preserve"> ROW( co_models[[#This Row],[row_id]] ) - ROW( co_models[[#Headers],[row_id]] )</f>
        <v>7</v>
      </c>
      <c r="C232" s="103" t="s">
        <v>1089</v>
      </c>
      <c r="D232" s="103" t="s">
        <v>819</v>
      </c>
      <c r="E232" s="128" t="str">
        <f xml:space="preserve"> IF( co_models[[#This Row],[modelType]] = "gcm", SUBSTITUTE( SUBSTITUTE( co_models[[#This Row],[model_id]], " ", "." ), "-", "." ),
         VALUE( SUBSTITUTE( co_models[[#This Row],[model_id]], "p", "." ) ) * 100 &amp; "cm" )</f>
        <v>MRI.CGCM3</v>
      </c>
      <c r="F232" s="104" t="str">
        <f xml:space="preserve"> SUBSTITUTE( co_models[[#This Row],[model_dot]], ".", "_" )</f>
        <v>MRI_CGCM3</v>
      </c>
      <c r="G232" s="104" t="str">
        <f xml:space="preserve"> IF( co_models[[#This Row],[modelType]] = "gcm", co_models[[#This Row],[model_id]], SUBSTITUTE( co_models[[#This Row],[model_dot]], "cm", " cm" ) )</f>
        <v>MRI-CGCM3</v>
      </c>
    </row>
    <row r="233" spans="2:7" x14ac:dyDescent="0.2">
      <c r="B233" s="9">
        <f xml:space="preserve"> ROW( co_models[[#This Row],[row_id]] ) - ROW( co_models[[#Headers],[row_id]] )</f>
        <v>8</v>
      </c>
      <c r="C233" s="103" t="s">
        <v>1087</v>
      </c>
      <c r="D233" s="103" t="s">
        <v>819</v>
      </c>
      <c r="E233" s="128" t="str">
        <f xml:space="preserve"> IF( co_models[[#This Row],[modelType]] = "gcm", SUBSTITUTE( SUBSTITUTE( co_models[[#This Row],[model_id]], " ", "." ), "-", "." ),
         VALUE( SUBSTITUTE( co_models[[#This Row],[model_id]], "p", "." ) ) * 100 &amp; "cm" )</f>
        <v>GCM.Ensemble</v>
      </c>
      <c r="F233" s="104" t="str">
        <f xml:space="preserve"> SUBSTITUTE( co_models[[#This Row],[model_dot]], ".", "_" )</f>
        <v>GCM_Ensemble</v>
      </c>
      <c r="G233" s="104" t="str">
        <f xml:space="preserve"> IF( co_models[[#This Row],[modelType]] = "gcm", co_models[[#This Row],[model_id]], SUBSTITUTE( co_models[[#This Row],[model_dot]], "cm", " cm" ) )</f>
        <v>GCM Ensemble</v>
      </c>
    </row>
    <row r="234" spans="2:7" x14ac:dyDescent="0.2">
      <c r="B234" s="9">
        <f xml:space="preserve"> ROW( co_models[[#This Row],[row_id]] ) - ROW( co_models[[#Headers],[row_id]] )</f>
        <v>9</v>
      </c>
      <c r="C234" s="103" t="s">
        <v>948</v>
      </c>
      <c r="D234" s="103" t="s">
        <v>818</v>
      </c>
      <c r="E234" s="104" t="str">
        <f xml:space="preserve"> IF( co_models[[#This Row],[modelType]] = "gcm", SUBSTITUTE( SUBSTITUTE( co_models[[#This Row],[model_id]], " ", "." ), "-", "." ),
         VALUE( SUBSTITUTE( co_models[[#This Row],[model_id]], "p", "." ) ) * 100 &amp; "cm" )</f>
        <v>30cm</v>
      </c>
      <c r="F234" s="104" t="str">
        <f xml:space="preserve"> SUBSTITUTE( co_models[[#This Row],[model_dot]], ".", "_" )</f>
        <v>30cm</v>
      </c>
      <c r="G234" s="104" t="str">
        <f xml:space="preserve"> IF( co_models[[#This Row],[modelType]] = "gcm", co_models[[#This Row],[model_id]], SUBSTITUTE( co_models[[#This Row],[model_dot]], "cm", " cm" ) )</f>
        <v>30 cm</v>
      </c>
    </row>
    <row r="235" spans="2:7" x14ac:dyDescent="0.2">
      <c r="B235" s="9">
        <f xml:space="preserve"> ROW( co_models[[#This Row],[row_id]] ) - ROW( co_models[[#Headers],[row_id]] )</f>
        <v>10</v>
      </c>
      <c r="C235" s="103" t="s">
        <v>949</v>
      </c>
      <c r="D235" s="103" t="s">
        <v>818</v>
      </c>
      <c r="E235" s="104" t="str">
        <f xml:space="preserve"> IF( co_models[[#This Row],[modelType]] = "gcm", SUBSTITUTE( SUBSTITUTE( co_models[[#This Row],[model_id]], " ", "." ), "-", "." ),
         VALUE( SUBSTITUTE( co_models[[#This Row],[model_id]], "p", "." ) ) * 100 &amp; "cm" )</f>
        <v>50cm</v>
      </c>
      <c r="F235" s="104" t="str">
        <f xml:space="preserve"> SUBSTITUTE( co_models[[#This Row],[model_dot]], ".", "_" )</f>
        <v>50cm</v>
      </c>
      <c r="G235" s="104" t="str">
        <f xml:space="preserve"> IF( co_models[[#This Row],[modelType]] = "gcm", co_models[[#This Row],[model_id]], SUBSTITUTE( co_models[[#This Row],[model_dot]], "cm", " cm" ) )</f>
        <v>50 cm</v>
      </c>
    </row>
    <row r="236" spans="2:7" x14ac:dyDescent="0.2">
      <c r="B236" s="9">
        <f xml:space="preserve"> ROW( co_models[[#This Row],[row_id]] ) - ROW( co_models[[#Headers],[row_id]] )</f>
        <v>11</v>
      </c>
      <c r="C236" s="103" t="s">
        <v>950</v>
      </c>
      <c r="D236" s="103" t="s">
        <v>818</v>
      </c>
      <c r="E236" s="104" t="str">
        <f xml:space="preserve"> IF( co_models[[#This Row],[modelType]] = "gcm", SUBSTITUTE( SUBSTITUTE( co_models[[#This Row],[model_id]], " ", "." ), "-", "." ),
         VALUE( SUBSTITUTE( co_models[[#This Row],[model_id]], "p", "." ) ) * 100 &amp; "cm" )</f>
        <v>100cm</v>
      </c>
      <c r="F236" s="104" t="str">
        <f xml:space="preserve"> SUBSTITUTE( co_models[[#This Row],[model_dot]], ".", "_" )</f>
        <v>100cm</v>
      </c>
      <c r="G236" s="104" t="str">
        <f xml:space="preserve"> IF( co_models[[#This Row],[modelType]] = "gcm", co_models[[#This Row],[model_id]], SUBSTITUTE( co_models[[#This Row],[model_dot]], "cm", " cm" ) )</f>
        <v>100 cm</v>
      </c>
    </row>
    <row r="237" spans="2:7" x14ac:dyDescent="0.2">
      <c r="B237" s="9">
        <f xml:space="preserve"> ROW( co_models[[#This Row],[row_id]] ) - ROW( co_models[[#Headers],[row_id]] )</f>
        <v>12</v>
      </c>
      <c r="C237" s="103" t="s">
        <v>951</v>
      </c>
      <c r="D237" s="103" t="s">
        <v>818</v>
      </c>
      <c r="E237" s="104" t="str">
        <f xml:space="preserve"> IF( co_models[[#This Row],[modelType]] = "gcm", SUBSTITUTE( SUBSTITUTE( co_models[[#This Row],[model_id]], " ", "." ), "-", "." ),
         VALUE( SUBSTITUTE( co_models[[#This Row],[model_id]], "p", "." ) ) * 100 &amp; "cm" )</f>
        <v>150cm</v>
      </c>
      <c r="F237" s="104" t="str">
        <f xml:space="preserve"> SUBSTITUTE( co_models[[#This Row],[model_dot]], ".", "_" )</f>
        <v>150cm</v>
      </c>
      <c r="G237" s="104" t="str">
        <f xml:space="preserve"> IF( co_models[[#This Row],[modelType]] = "gcm", co_models[[#This Row],[model_id]], SUBSTITUTE( co_models[[#This Row],[model_dot]], "cm", " cm" ) )</f>
        <v>150 cm</v>
      </c>
    </row>
    <row r="238" spans="2:7" x14ac:dyDescent="0.2">
      <c r="B238" s="9">
        <f xml:space="preserve"> ROW( co_models[[#This Row],[row_id]] ) - ROW( co_models[[#Headers],[row_id]] )</f>
        <v>13</v>
      </c>
      <c r="C238" s="103" t="s">
        <v>952</v>
      </c>
      <c r="D238" s="103" t="s">
        <v>818</v>
      </c>
      <c r="E238" s="104" t="str">
        <f xml:space="preserve"> IF( co_models[[#This Row],[modelType]] = "gcm", SUBSTITUTE( SUBSTITUTE( co_models[[#This Row],[model_id]], " ", "." ), "-", "." ),
         VALUE( SUBSTITUTE( co_models[[#This Row],[model_id]], "p", "." ) ) * 100 &amp; "cm" )</f>
        <v>200cm</v>
      </c>
      <c r="F238" s="104" t="str">
        <f xml:space="preserve"> SUBSTITUTE( co_models[[#This Row],[model_dot]], ".", "_" )</f>
        <v>200cm</v>
      </c>
      <c r="G238" s="104" t="str">
        <f xml:space="preserve"> IF( co_models[[#This Row],[modelType]] = "gcm", co_models[[#This Row],[model_id]], SUBSTITUTE( co_models[[#This Row],[model_dot]], "cm", " cm" ) )</f>
        <v>200 cm</v>
      </c>
    </row>
    <row r="239" spans="2:7" x14ac:dyDescent="0.2">
      <c r="B239" s="9">
        <f xml:space="preserve"> ROW( co_models[[#This Row],[row_id]] ) - ROW( co_models[[#Headers],[row_id]] )</f>
        <v>14</v>
      </c>
      <c r="C239" s="103" t="s">
        <v>953</v>
      </c>
      <c r="D239" s="103" t="s">
        <v>818</v>
      </c>
      <c r="E239" s="104" t="str">
        <f xml:space="preserve"> IF( co_models[[#This Row],[modelType]] = "gcm", SUBSTITUTE( SUBSTITUTE( co_models[[#This Row],[model_id]], " ", "." ), "-", "." ),
         VALUE( SUBSTITUTE( co_models[[#This Row],[model_id]], "p", "." ) ) * 100 &amp; "cm" )</f>
        <v>250cm</v>
      </c>
      <c r="F239" s="104" t="str">
        <f xml:space="preserve"> SUBSTITUTE( co_models[[#This Row],[model_dot]], ".", "_" )</f>
        <v>250cm</v>
      </c>
      <c r="G239" s="104" t="str">
        <f xml:space="preserve"> IF( co_models[[#This Row],[modelType]] = "gcm", co_models[[#This Row],[model_id]], SUBSTITUTE( co_models[[#This Row],[model_dot]], "cm", " cm" ) )</f>
        <v>250 cm</v>
      </c>
    </row>
    <row r="242" spans="1:21" ht="15" x14ac:dyDescent="0.25">
      <c r="A242" s="63"/>
      <c r="B242" s="64" t="s">
        <v>233</v>
      </c>
      <c r="C242" s="64"/>
      <c r="D242" s="64"/>
      <c r="E242" s="64"/>
      <c r="F242" s="64"/>
      <c r="G242" s="64"/>
      <c r="H242" s="64"/>
      <c r="I242" s="64"/>
      <c r="J242" s="64"/>
      <c r="K242" s="64"/>
      <c r="L242" s="64"/>
      <c r="M242" s="64"/>
      <c r="N242" s="64"/>
      <c r="O242" s="64"/>
      <c r="P242" s="64"/>
      <c r="Q242" s="64"/>
      <c r="R242" s="64"/>
      <c r="S242" s="64"/>
      <c r="T242" s="64"/>
      <c r="U242" s="64"/>
    </row>
    <row r="244" spans="1:21" x14ac:dyDescent="0.2">
      <c r="B244" s="102" t="s">
        <v>780</v>
      </c>
      <c r="C244" s="78" t="s">
        <v>234</v>
      </c>
      <c r="D244" s="78" t="s">
        <v>820</v>
      </c>
      <c r="E244" s="79" t="s">
        <v>821</v>
      </c>
    </row>
    <row r="245" spans="1:21" x14ac:dyDescent="0.2">
      <c r="B245" s="8">
        <f xml:space="preserve"> ROW( co_regions[[#This Row],[row_id]] ) - ROW( co_regions[[#Headers],[row_id]] )</f>
        <v>1</v>
      </c>
      <c r="C245" s="103" t="s">
        <v>6</v>
      </c>
      <c r="D245" s="78" t="str">
        <f xml:space="preserve"> SUBSTITUTE( co_regions[[#This Row],[region_label]], " ", "." )</f>
        <v>Midwest</v>
      </c>
      <c r="E245" s="79" t="str">
        <f xml:space="preserve"> SUBSTITUTE( co_regions[[#This Row],[region_label]], " ", "_" )</f>
        <v>Midwest</v>
      </c>
    </row>
    <row r="246" spans="1:21" x14ac:dyDescent="0.2">
      <c r="B246" s="8">
        <f xml:space="preserve"> ROW( co_regions[[#This Row],[row_id]] ) - ROW( co_regions[[#Headers],[row_id]] )</f>
        <v>2</v>
      </c>
      <c r="C246" s="103" t="s">
        <v>7</v>
      </c>
      <c r="D246" s="78" t="str">
        <f xml:space="preserve"> SUBSTITUTE( co_regions[[#This Row],[region_label]], " ", "." )</f>
        <v>Northeast</v>
      </c>
      <c r="E246" s="79" t="str">
        <f xml:space="preserve"> SUBSTITUTE( co_regions[[#This Row],[region_label]], " ", "_" )</f>
        <v>Northeast</v>
      </c>
    </row>
    <row r="247" spans="1:21" x14ac:dyDescent="0.2">
      <c r="B247" s="8">
        <f xml:space="preserve"> ROW( co_regions[[#This Row],[row_id]] ) - ROW( co_regions[[#Headers],[row_id]] )</f>
        <v>3</v>
      </c>
      <c r="C247" s="103" t="s">
        <v>8</v>
      </c>
      <c r="D247" s="78" t="str">
        <f xml:space="preserve"> SUBSTITUTE( co_regions[[#This Row],[region_label]], " ", "." )</f>
        <v>Northern.Plains</v>
      </c>
      <c r="E247" s="79" t="str">
        <f xml:space="preserve"> SUBSTITUTE( co_regions[[#This Row],[region_label]], " ", "_" )</f>
        <v>Northern_Plains</v>
      </c>
    </row>
    <row r="248" spans="1:21" x14ac:dyDescent="0.2">
      <c r="B248" s="8">
        <f xml:space="preserve"> ROW( co_regions[[#This Row],[row_id]] ) - ROW( co_regions[[#Headers],[row_id]] )</f>
        <v>4</v>
      </c>
      <c r="C248" s="103" t="s">
        <v>9</v>
      </c>
      <c r="D248" s="78" t="str">
        <f xml:space="preserve"> SUBSTITUTE( co_regions[[#This Row],[region_label]], " ", "." )</f>
        <v>Northwest</v>
      </c>
      <c r="E248" s="79" t="str">
        <f xml:space="preserve"> SUBSTITUTE( co_regions[[#This Row],[region_label]], " ", "_" )</f>
        <v>Northwest</v>
      </c>
    </row>
    <row r="249" spans="1:21" x14ac:dyDescent="0.2">
      <c r="B249" s="8">
        <f xml:space="preserve"> ROW( co_regions[[#This Row],[row_id]] ) - ROW( co_regions[[#Headers],[row_id]] )</f>
        <v>5</v>
      </c>
      <c r="C249" s="103" t="s">
        <v>10</v>
      </c>
      <c r="D249" s="78" t="str">
        <f xml:space="preserve"> SUBSTITUTE( co_regions[[#This Row],[region_label]], " ", "." )</f>
        <v>Southeast</v>
      </c>
      <c r="E249" s="79" t="str">
        <f xml:space="preserve"> SUBSTITUTE( co_regions[[#This Row],[region_label]], " ", "_" )</f>
        <v>Southeast</v>
      </c>
    </row>
    <row r="250" spans="1:21" x14ac:dyDescent="0.2">
      <c r="B250" s="8">
        <f xml:space="preserve"> ROW( co_regions[[#This Row],[row_id]] ) - ROW( co_regions[[#Headers],[row_id]] )</f>
        <v>6</v>
      </c>
      <c r="C250" s="103" t="s">
        <v>11</v>
      </c>
      <c r="D250" s="78" t="str">
        <f xml:space="preserve"> SUBSTITUTE( co_regions[[#This Row],[region_label]], " ", "." )</f>
        <v>Southern.Plains</v>
      </c>
      <c r="E250" s="79" t="str">
        <f xml:space="preserve"> SUBSTITUTE( co_regions[[#This Row],[region_label]], " ", "_" )</f>
        <v>Southern_Plains</v>
      </c>
    </row>
    <row r="251" spans="1:21" x14ac:dyDescent="0.2">
      <c r="B251" s="8">
        <f xml:space="preserve"> ROW( co_regions[[#This Row],[row_id]] ) - ROW( co_regions[[#Headers],[row_id]] )</f>
        <v>7</v>
      </c>
      <c r="C251" s="103" t="s">
        <v>12</v>
      </c>
      <c r="D251" s="78" t="str">
        <f xml:space="preserve"> SUBSTITUTE( co_regions[[#This Row],[region_label]], " ", "." )</f>
        <v>Southwest</v>
      </c>
      <c r="E251" s="79" t="str">
        <f xml:space="preserve"> SUBSTITUTE( co_regions[[#This Row],[region_label]], " ", "_" )</f>
        <v>Southwest</v>
      </c>
    </row>
    <row r="254" spans="1:21" ht="15" x14ac:dyDescent="0.25">
      <c r="A254" s="63"/>
      <c r="B254" s="64" t="s">
        <v>1044</v>
      </c>
      <c r="C254" s="64"/>
      <c r="D254" s="64"/>
      <c r="E254" s="64"/>
      <c r="F254" s="64"/>
      <c r="G254" s="64"/>
      <c r="H254" s="64"/>
      <c r="I254" s="64"/>
      <c r="J254" s="64"/>
      <c r="K254" s="64"/>
      <c r="L254" s="64"/>
      <c r="M254" s="64"/>
      <c r="N254" s="64"/>
      <c r="O254" s="64"/>
      <c r="P254" s="64"/>
      <c r="Q254" s="64"/>
      <c r="R254" s="64"/>
      <c r="S254" s="64"/>
      <c r="T254" s="64"/>
      <c r="U254" s="64"/>
    </row>
    <row r="256" spans="1:21" x14ac:dyDescent="0.2">
      <c r="B256" s="78" t="s">
        <v>780</v>
      </c>
      <c r="C256" s="78" t="s">
        <v>1045</v>
      </c>
      <c r="D256" s="78" t="s">
        <v>1049</v>
      </c>
      <c r="E256" s="78" t="s">
        <v>1055</v>
      </c>
      <c r="F256" s="78" t="s">
        <v>1070</v>
      </c>
      <c r="G256" s="78" t="s">
        <v>1069</v>
      </c>
      <c r="H256" s="80" t="s">
        <v>1052</v>
      </c>
      <c r="I256" s="80" t="s">
        <v>1060</v>
      </c>
      <c r="J256" s="80" t="s">
        <v>1061</v>
      </c>
      <c r="K256" s="80" t="s">
        <v>1063</v>
      </c>
      <c r="L256" s="80" t="s">
        <v>218</v>
      </c>
    </row>
    <row r="257" spans="2:12" x14ac:dyDescent="0.2">
      <c r="B257" s="8">
        <f xml:space="preserve"> ROW( co_inputScenarioInfo[[#This Row],[row_id]] ) - ROW( co_inputScenarioInfo[[#Headers],[row_id]] )</f>
        <v>1</v>
      </c>
      <c r="C257" s="19" t="s">
        <v>1046</v>
      </c>
      <c r="D257" s="103" t="s">
        <v>956</v>
      </c>
      <c r="E257" s="103" t="s">
        <v>1056</v>
      </c>
      <c r="F257" s="103" t="str">
        <f xml:space="preserve"> co_inputScenarioInfo[[#This Row],[inputName]] &amp; "file"</f>
        <v>tempfile</v>
      </c>
      <c r="G257" s="103" t="str">
        <f xml:space="preserve"> co_inputScenarioInfo[[#This Row],[inputName]] &amp; "Input"</f>
        <v>tempInput</v>
      </c>
      <c r="H257" s="80" t="s">
        <v>962</v>
      </c>
      <c r="I257" s="80">
        <v>0</v>
      </c>
      <c r="J257" s="80">
        <f xml:space="preserve"> IF( ISNA( MATCH( co_inputScenarioInfo[[#This Row],[inputType]], co_modelTypes[modelUnitType], 0 ) ), "", INDEX( co_modelTypes[modelMaxExtrap], MATCH( co_inputScenarioInfo[[#This Row],[inputType]], co_modelTypes[modelUnitType], 0 ) ) )</f>
        <v>30</v>
      </c>
      <c r="K257" s="80" t="s">
        <v>1064</v>
      </c>
      <c r="L257" s="80">
        <v>0</v>
      </c>
    </row>
    <row r="258" spans="2:12" x14ac:dyDescent="0.2">
      <c r="B258" s="8">
        <f xml:space="preserve"> ROW( co_inputScenarioInfo[[#This Row],[row_id]] ) - ROW( co_inputScenarioInfo[[#Headers],[row_id]] )</f>
        <v>2</v>
      </c>
      <c r="C258" s="19" t="s">
        <v>818</v>
      </c>
      <c r="D258" s="103" t="s">
        <v>961</v>
      </c>
      <c r="E258" s="103" t="s">
        <v>1057</v>
      </c>
      <c r="F258" s="103" t="str">
        <f xml:space="preserve"> co_inputScenarioInfo[[#This Row],[inputName]] &amp; "file"</f>
        <v>slrfile</v>
      </c>
      <c r="G258" s="103" t="str">
        <f xml:space="preserve"> co_inputScenarioInfo[[#This Row],[inputName]] &amp; "Input"</f>
        <v>slrInput</v>
      </c>
      <c r="H258" s="80" t="s">
        <v>963</v>
      </c>
      <c r="I258" s="80">
        <v>0</v>
      </c>
      <c r="J258" s="80">
        <f xml:space="preserve"> IF( ISNA( MATCH( co_inputScenarioInfo[[#This Row],[inputType]], co_modelTypes[modelUnitType], 0 ) ), "", INDEX( co_modelTypes[modelMaxExtrap], MATCH( co_inputScenarioInfo[[#This Row],[inputType]], co_modelTypes[modelUnitType], 0 ) ) )</f>
        <v>1000</v>
      </c>
      <c r="K258" s="80" t="s">
        <v>1065</v>
      </c>
      <c r="L258" s="80">
        <v>0</v>
      </c>
    </row>
    <row r="259" spans="2:12" x14ac:dyDescent="0.2">
      <c r="B259" s="8">
        <f xml:space="preserve"> ROW( co_inputScenarioInfo[[#This Row],[row_id]] ) - ROW( co_inputScenarioInfo[[#Headers],[row_id]] )</f>
        <v>3</v>
      </c>
      <c r="C259" s="19" t="s">
        <v>1047</v>
      </c>
      <c r="D259" s="103" t="s">
        <v>1050</v>
      </c>
      <c r="E259" s="103" t="s">
        <v>1058</v>
      </c>
      <c r="F259" s="103" t="str">
        <f xml:space="preserve"> co_inputScenarioInfo[[#This Row],[inputName]] &amp; "file"</f>
        <v>gdpfile</v>
      </c>
      <c r="G259" s="103" t="str">
        <f xml:space="preserve"> co_inputScenarioInfo[[#This Row],[inputName]] &amp; "Input"</f>
        <v>gdpInput</v>
      </c>
      <c r="H259" s="80" t="s">
        <v>1053</v>
      </c>
      <c r="I259" s="80">
        <v>0</v>
      </c>
      <c r="J259" s="80" t="str">
        <f xml:space="preserve"> IF( ISNA( MATCH( co_inputScenarioInfo[[#This Row],[inputType]], co_modelTypes[modelUnitType], 0 ) ), "", INDEX( co_modelTypes[modelMaxExtrap], MATCH( co_inputScenarioInfo[[#This Row],[inputType]], co_modelTypes[modelUnitType], 0 ) ) )</f>
        <v/>
      </c>
      <c r="K259" s="80" t="s">
        <v>904</v>
      </c>
      <c r="L259" s="80">
        <v>0</v>
      </c>
    </row>
    <row r="260" spans="2:12" x14ac:dyDescent="0.2">
      <c r="B260" s="8">
        <f xml:space="preserve"> ROW( co_inputScenarioInfo[[#This Row],[row_id]] ) - ROW( co_inputScenarioInfo[[#Headers],[row_id]] )</f>
        <v>4</v>
      </c>
      <c r="C260" s="19" t="s">
        <v>1048</v>
      </c>
      <c r="D260" s="103" t="s">
        <v>1051</v>
      </c>
      <c r="E260" s="103" t="s">
        <v>1059</v>
      </c>
      <c r="F260" s="103" t="str">
        <f xml:space="preserve"> co_inputScenarioInfo[[#This Row],[inputName]] &amp; "file"</f>
        <v>popfile</v>
      </c>
      <c r="G260" s="103" t="str">
        <f xml:space="preserve"> co_inputScenarioInfo[[#This Row],[inputName]] &amp; "Input"</f>
        <v>popInput</v>
      </c>
      <c r="H260" s="80" t="s">
        <v>1054</v>
      </c>
      <c r="I260" s="80">
        <v>0</v>
      </c>
      <c r="J260" s="80" t="str">
        <f xml:space="preserve"> IF( ISNA( MATCH( co_inputScenarioInfo[[#This Row],[inputType]], co_modelTypes[modelUnitType], 0 ) ), "", INDEX( co_modelTypes[modelMaxExtrap], MATCH( co_inputScenarioInfo[[#This Row],[inputType]], co_modelTypes[modelUnitType], 0 ) ) )</f>
        <v/>
      </c>
      <c r="K260" s="80" t="s">
        <v>251</v>
      </c>
      <c r="L260" s="80">
        <v>1</v>
      </c>
    </row>
  </sheetData>
  <phoneticPr fontId="10" type="noConversion"/>
  <conditionalFormatting sqref="J127:K127">
    <cfRule type="expression" dxfId="4" priority="4">
      <formula xml:space="preserve"> IF( $F127 = 1, 1, 0)</formula>
    </cfRule>
  </conditionalFormatting>
  <conditionalFormatting sqref="B19:F26 B28:F42">
    <cfRule type="expression" dxfId="3" priority="6">
      <formula xml:space="preserve"> IF( $E19 = 1, 1, 0)</formula>
    </cfRule>
  </conditionalFormatting>
  <conditionalFormatting sqref="B27:F27">
    <cfRule type="expression" dxfId="2"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81" activePane="bottomLeft" state="frozen"/>
      <selection pane="bottomLeft" activeCell="I347" sqref="I34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43"/>
  <sheetViews>
    <sheetView zoomScale="60" zoomScaleNormal="60" workbookViewId="0">
      <pane ySplit="1" topLeftCell="A2957" activePane="bottomLeft" state="frozen"/>
      <selection activeCell="T393" sqref="T393"/>
      <selection pane="bottomLeft" activeCell="I3037" sqref="I3037"/>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24.5703125" bestFit="1"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1246</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1263</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1263</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1263</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1263</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1263</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1263</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1263</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1263</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1263</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1263</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1263</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1263</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1263</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1263</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1263</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1263</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1263</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1263</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1263</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1263</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1263</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1263</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1263</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1263</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1263</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1263</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1263</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1263</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1263</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1263</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1263</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1247</v>
      </c>
      <c r="D2763" s="42" t="s">
        <v>0</v>
      </c>
      <c r="E2763" s="43">
        <v>1</v>
      </c>
      <c r="F2763" s="43"/>
      <c r="G2763" s="43" t="s">
        <v>1248</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1247</v>
      </c>
      <c r="D2764" s="42" t="s">
        <v>0</v>
      </c>
      <c r="E2764" s="43">
        <v>2</v>
      </c>
      <c r="F2764" s="43"/>
      <c r="G2764" s="43" t="s">
        <v>1248</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1247</v>
      </c>
      <c r="D2765" s="42" t="s">
        <v>0</v>
      </c>
      <c r="E2765" s="43">
        <v>3</v>
      </c>
      <c r="F2765" s="43"/>
      <c r="G2765" s="43" t="s">
        <v>1248</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1247</v>
      </c>
      <c r="D2766" s="42" t="s">
        <v>0</v>
      </c>
      <c r="E2766" s="43">
        <v>4</v>
      </c>
      <c r="F2766" s="43"/>
      <c r="G2766" s="43" t="s">
        <v>1248</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1247</v>
      </c>
      <c r="D2767" s="42" t="s">
        <v>0</v>
      </c>
      <c r="E2767" s="43">
        <v>5</v>
      </c>
      <c r="F2767" s="43"/>
      <c r="G2767" s="43" t="s">
        <v>1248</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1247</v>
      </c>
      <c r="D2768" s="42" t="s">
        <v>0</v>
      </c>
      <c r="E2768" s="43">
        <v>6</v>
      </c>
      <c r="F2768" s="43"/>
      <c r="G2768" s="43" t="s">
        <v>1248</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1247</v>
      </c>
      <c r="D2769" s="42" t="s">
        <v>1</v>
      </c>
      <c r="E2769" s="43">
        <v>1</v>
      </c>
      <c r="F2769" s="43"/>
      <c r="G2769" s="43" t="s">
        <v>1248</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1247</v>
      </c>
      <c r="D2770" s="42" t="s">
        <v>1</v>
      </c>
      <c r="E2770" s="43">
        <v>2</v>
      </c>
      <c r="F2770" s="43"/>
      <c r="G2770" s="43" t="s">
        <v>1248</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1247</v>
      </c>
      <c r="D2771" s="42" t="s">
        <v>1</v>
      </c>
      <c r="E2771" s="43">
        <v>3</v>
      </c>
      <c r="F2771" s="43"/>
      <c r="G2771" s="43" t="s">
        <v>1248</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1247</v>
      </c>
      <c r="D2772" s="42" t="s">
        <v>1</v>
      </c>
      <c r="E2772" s="43">
        <v>4</v>
      </c>
      <c r="F2772" s="43"/>
      <c r="G2772" s="43" t="s">
        <v>1248</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1247</v>
      </c>
      <c r="D2773" s="42" t="s">
        <v>1</v>
      </c>
      <c r="E2773" s="43">
        <v>5</v>
      </c>
      <c r="F2773" s="43"/>
      <c r="G2773" s="43" t="s">
        <v>1248</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1247</v>
      </c>
      <c r="D2774" s="42" t="s">
        <v>1</v>
      </c>
      <c r="E2774" s="43">
        <v>6</v>
      </c>
      <c r="F2774" s="43"/>
      <c r="G2774" s="43" t="s">
        <v>1248</v>
      </c>
      <c r="H2774" s="44"/>
      <c r="I2774" s="57" t="s">
        <v>71</v>
      </c>
      <c r="J2774" s="155"/>
      <c r="K2774" s="155"/>
      <c r="L2774" s="155"/>
      <c r="M2774" s="155"/>
      <c r="N2774" s="155"/>
      <c r="O2774" s="155"/>
      <c r="P2774" s="154"/>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1247</v>
      </c>
      <c r="D2775" s="42" t="s">
        <v>2</v>
      </c>
      <c r="E2775" s="43">
        <v>1</v>
      </c>
      <c r="F2775" s="43"/>
      <c r="G2775" s="43" t="s">
        <v>1248</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1247</v>
      </c>
      <c r="D2776" s="42" t="s">
        <v>2</v>
      </c>
      <c r="E2776" s="43">
        <v>2</v>
      </c>
      <c r="F2776" s="43"/>
      <c r="G2776" s="43" t="s">
        <v>1248</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1247</v>
      </c>
      <c r="D2777" s="42" t="s">
        <v>2</v>
      </c>
      <c r="E2777" s="43">
        <v>3</v>
      </c>
      <c r="F2777" s="43"/>
      <c r="G2777" s="43" t="s">
        <v>1248</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1247</v>
      </c>
      <c r="D2778" s="42" t="s">
        <v>2</v>
      </c>
      <c r="E2778" s="43">
        <v>4</v>
      </c>
      <c r="F2778" s="43"/>
      <c r="G2778" s="43" t="s">
        <v>1248</v>
      </c>
      <c r="H2778" s="44"/>
      <c r="I2778" s="57" t="s">
        <v>58</v>
      </c>
      <c r="J2778" s="155"/>
      <c r="K2778" s="155"/>
      <c r="L2778" s="155"/>
      <c r="M2778" s="155"/>
      <c r="N2778" s="155"/>
      <c r="O2778" s="155"/>
      <c r="P2778" s="154"/>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1247</v>
      </c>
      <c r="D2779" s="42" t="s">
        <v>2</v>
      </c>
      <c r="E2779" s="43">
        <v>5</v>
      </c>
      <c r="F2779" s="43"/>
      <c r="G2779" s="43" t="s">
        <v>1248</v>
      </c>
      <c r="H2779" s="44"/>
      <c r="I2779" s="57" t="s">
        <v>65</v>
      </c>
      <c r="J2779" s="155"/>
      <c r="K2779" s="155"/>
      <c r="L2779" s="155"/>
      <c r="M2779" s="155"/>
      <c r="N2779" s="155"/>
      <c r="O2779" s="155"/>
      <c r="P2779" s="154"/>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1247</v>
      </c>
      <c r="D2780" s="42" t="s">
        <v>2</v>
      </c>
      <c r="E2780" s="43">
        <v>6</v>
      </c>
      <c r="F2780" s="43"/>
      <c r="G2780" s="43" t="s">
        <v>1248</v>
      </c>
      <c r="H2780" s="44"/>
      <c r="I2780" s="57" t="s">
        <v>72</v>
      </c>
      <c r="J2780" s="155"/>
      <c r="K2780" s="155"/>
      <c r="L2780" s="155"/>
      <c r="M2780" s="155"/>
      <c r="N2780" s="155"/>
      <c r="O2780" s="155"/>
      <c r="P2780" s="154"/>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1247</v>
      </c>
      <c r="D2781" s="42" t="s">
        <v>3</v>
      </c>
      <c r="E2781" s="43">
        <v>1</v>
      </c>
      <c r="F2781" s="43"/>
      <c r="G2781" s="43" t="s">
        <v>1248</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1247</v>
      </c>
      <c r="D2782" s="42" t="s">
        <v>3</v>
      </c>
      <c r="E2782" s="43">
        <v>2</v>
      </c>
      <c r="F2782" s="43"/>
      <c r="G2782" s="43" t="s">
        <v>1248</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1247</v>
      </c>
      <c r="D2783" s="42" t="s">
        <v>3</v>
      </c>
      <c r="E2783" s="43">
        <v>3</v>
      </c>
      <c r="F2783" s="43"/>
      <c r="G2783" s="43" t="s">
        <v>1248</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1247</v>
      </c>
      <c r="D2784" s="42" t="s">
        <v>3</v>
      </c>
      <c r="E2784" s="43">
        <v>4</v>
      </c>
      <c r="F2784" s="43"/>
      <c r="G2784" s="43" t="s">
        <v>1248</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1247</v>
      </c>
      <c r="D2785" s="42" t="s">
        <v>3</v>
      </c>
      <c r="E2785" s="43">
        <v>5</v>
      </c>
      <c r="F2785" s="43"/>
      <c r="G2785" s="43" t="s">
        <v>1248</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1247</v>
      </c>
      <c r="D2786" s="42" t="s">
        <v>3</v>
      </c>
      <c r="E2786" s="43">
        <v>6</v>
      </c>
      <c r="F2786" s="43"/>
      <c r="G2786" s="43" t="s">
        <v>1248</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1247</v>
      </c>
      <c r="D2787" s="42" t="s">
        <v>4</v>
      </c>
      <c r="E2787" s="43">
        <v>1</v>
      </c>
      <c r="F2787" s="43"/>
      <c r="G2787" s="43" t="s">
        <v>1248</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1247</v>
      </c>
      <c r="D2788" s="42" t="s">
        <v>4</v>
      </c>
      <c r="E2788" s="43">
        <v>2</v>
      </c>
      <c r="F2788" s="43"/>
      <c r="G2788" s="43" t="s">
        <v>1248</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1247</v>
      </c>
      <c r="D2789" s="42" t="s">
        <v>4</v>
      </c>
      <c r="E2789" s="43">
        <v>3</v>
      </c>
      <c r="F2789" s="43"/>
      <c r="G2789" s="43" t="s">
        <v>1248</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1247</v>
      </c>
      <c r="D2790" s="42" t="s">
        <v>4</v>
      </c>
      <c r="E2790" s="43">
        <v>4</v>
      </c>
      <c r="F2790" s="43"/>
      <c r="G2790" s="43" t="s">
        <v>1248</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1247</v>
      </c>
      <c r="D2791" s="42" t="s">
        <v>4</v>
      </c>
      <c r="E2791" s="43">
        <v>5</v>
      </c>
      <c r="F2791" s="43"/>
      <c r="G2791" s="43" t="s">
        <v>1248</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1247</v>
      </c>
      <c r="D2792" s="42" t="s">
        <v>4</v>
      </c>
      <c r="E2792" s="43">
        <v>6</v>
      </c>
      <c r="F2792" s="43"/>
      <c r="G2792" s="43" t="s">
        <v>1248</v>
      </c>
      <c r="H2792" s="44"/>
      <c r="I2792" s="57" t="s">
        <v>74</v>
      </c>
      <c r="J2792" s="155"/>
      <c r="K2792" s="155"/>
      <c r="L2792" s="155"/>
      <c r="M2792" s="155"/>
      <c r="N2792" s="155"/>
      <c r="O2792" s="155"/>
      <c r="P2792" s="154"/>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1247</v>
      </c>
      <c r="D2793" s="42" t="s">
        <v>5</v>
      </c>
      <c r="E2793" s="43">
        <v>1</v>
      </c>
      <c r="F2793" s="43"/>
      <c r="G2793" s="43" t="s">
        <v>1248</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1247</v>
      </c>
      <c r="D2794" s="42" t="s">
        <v>5</v>
      </c>
      <c r="E2794" s="43">
        <v>2</v>
      </c>
      <c r="F2794" s="43"/>
      <c r="G2794" s="43" t="s">
        <v>1248</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1247</v>
      </c>
      <c r="D2795" s="42" t="s">
        <v>5</v>
      </c>
      <c r="E2795" s="43">
        <v>3</v>
      </c>
      <c r="F2795" s="43"/>
      <c r="G2795" s="43" t="s">
        <v>1248</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1247</v>
      </c>
      <c r="D2796" s="42" t="s">
        <v>5</v>
      </c>
      <c r="E2796" s="43">
        <v>4</v>
      </c>
      <c r="F2796" s="43"/>
      <c r="G2796" s="43" t="s">
        <v>1248</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1247</v>
      </c>
      <c r="D2797" s="42" t="s">
        <v>5</v>
      </c>
      <c r="E2797" s="43">
        <v>5</v>
      </c>
      <c r="F2797" s="43"/>
      <c r="G2797" s="43" t="s">
        <v>1248</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1247</v>
      </c>
      <c r="D2798" s="42" t="s">
        <v>5</v>
      </c>
      <c r="E2798" s="43">
        <v>6</v>
      </c>
      <c r="F2798" s="43"/>
      <c r="G2798" s="43" t="s">
        <v>1248</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1247</v>
      </c>
      <c r="D2799" s="42" t="s">
        <v>1249</v>
      </c>
      <c r="E2799" s="43">
        <v>1</v>
      </c>
      <c r="F2799" s="43"/>
      <c r="G2799" s="43" t="s">
        <v>1248</v>
      </c>
      <c r="H2799" s="44"/>
      <c r="I2799" s="57" t="s">
        <v>1250</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1247</v>
      </c>
      <c r="D2800" s="42" t="s">
        <v>1249</v>
      </c>
      <c r="E2800" s="43">
        <v>2</v>
      </c>
      <c r="F2800" s="43"/>
      <c r="G2800" s="43" t="s">
        <v>1248</v>
      </c>
      <c r="H2800" s="44"/>
      <c r="I2800" s="57" t="s">
        <v>1251</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1247</v>
      </c>
      <c r="D2801" s="42" t="s">
        <v>1249</v>
      </c>
      <c r="E2801" s="43">
        <v>3</v>
      </c>
      <c r="F2801" s="43"/>
      <c r="G2801" s="43" t="s">
        <v>1248</v>
      </c>
      <c r="H2801" s="44"/>
      <c r="I2801" s="57" t="s">
        <v>1252</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1247</v>
      </c>
      <c r="D2802" s="42" t="s">
        <v>1249</v>
      </c>
      <c r="E2802" s="43">
        <v>4</v>
      </c>
      <c r="F2802" s="43"/>
      <c r="G2802" s="43" t="s">
        <v>1248</v>
      </c>
      <c r="H2802" s="44"/>
      <c r="I2802" s="57" t="s">
        <v>1253</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1247</v>
      </c>
      <c r="D2803" s="42" t="s">
        <v>1249</v>
      </c>
      <c r="E2803" s="43">
        <v>5</v>
      </c>
      <c r="F2803" s="43"/>
      <c r="G2803" s="43" t="s">
        <v>1248</v>
      </c>
      <c r="H2803" s="44"/>
      <c r="I2803" s="57" t="s">
        <v>1254</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1247</v>
      </c>
      <c r="D2804" s="42" t="s">
        <v>1249</v>
      </c>
      <c r="E2804" s="43">
        <v>6</v>
      </c>
      <c r="F2804" s="43"/>
      <c r="G2804" s="43" t="s">
        <v>1248</v>
      </c>
      <c r="H2804" s="44"/>
      <c r="I2804" s="57" t="s">
        <v>1255</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1247</v>
      </c>
      <c r="D2805" s="42" t="s">
        <v>0</v>
      </c>
      <c r="E2805" s="43">
        <v>1</v>
      </c>
      <c r="F2805" s="43"/>
      <c r="G2805" s="43" t="s">
        <v>1256</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1247</v>
      </c>
      <c r="D2806" s="42" t="s">
        <v>0</v>
      </c>
      <c r="E2806" s="43">
        <v>2</v>
      </c>
      <c r="F2806" s="43"/>
      <c r="G2806" s="43" t="s">
        <v>1256</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1247</v>
      </c>
      <c r="D2807" s="42" t="s">
        <v>0</v>
      </c>
      <c r="E2807" s="43">
        <v>3</v>
      </c>
      <c r="F2807" s="43"/>
      <c r="G2807" s="43" t="s">
        <v>1256</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1247</v>
      </c>
      <c r="D2808" s="42" t="s">
        <v>0</v>
      </c>
      <c r="E2808" s="43">
        <v>4</v>
      </c>
      <c r="F2808" s="43"/>
      <c r="G2808" s="43" t="s">
        <v>1256</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1247</v>
      </c>
      <c r="D2809" s="42" t="s">
        <v>0</v>
      </c>
      <c r="E2809" s="43">
        <v>5</v>
      </c>
      <c r="F2809" s="43"/>
      <c r="G2809" s="43" t="s">
        <v>1256</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1247</v>
      </c>
      <c r="D2810" s="42" t="s">
        <v>0</v>
      </c>
      <c r="E2810" s="43">
        <v>6</v>
      </c>
      <c r="F2810" s="43"/>
      <c r="G2810" s="43" t="s">
        <v>1256</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1247</v>
      </c>
      <c r="D2811" s="42" t="s">
        <v>1</v>
      </c>
      <c r="E2811" s="43">
        <v>1</v>
      </c>
      <c r="F2811" s="43"/>
      <c r="G2811" s="43" t="s">
        <v>1256</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1247</v>
      </c>
      <c r="D2812" s="42" t="s">
        <v>1</v>
      </c>
      <c r="E2812" s="43">
        <v>2</v>
      </c>
      <c r="F2812" s="43"/>
      <c r="G2812" s="43" t="s">
        <v>1256</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1247</v>
      </c>
      <c r="D2813" s="42" t="s">
        <v>1</v>
      </c>
      <c r="E2813" s="43">
        <v>3</v>
      </c>
      <c r="F2813" s="43"/>
      <c r="G2813" s="43" t="s">
        <v>1256</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1247</v>
      </c>
      <c r="D2814" s="42" t="s">
        <v>1</v>
      </c>
      <c r="E2814" s="43">
        <v>4</v>
      </c>
      <c r="F2814" s="43"/>
      <c r="G2814" s="43" t="s">
        <v>1256</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1247</v>
      </c>
      <c r="D2815" s="42" t="s">
        <v>1</v>
      </c>
      <c r="E2815" s="43">
        <v>5</v>
      </c>
      <c r="F2815" s="43"/>
      <c r="G2815" s="43" t="s">
        <v>1256</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1247</v>
      </c>
      <c r="D2816" s="42" t="s">
        <v>1</v>
      </c>
      <c r="E2816" s="43">
        <v>6</v>
      </c>
      <c r="F2816" s="43"/>
      <c r="G2816" s="43" t="s">
        <v>1256</v>
      </c>
      <c r="H2816" s="44"/>
      <c r="I2816" s="57" t="s">
        <v>71</v>
      </c>
      <c r="J2816" s="155"/>
      <c r="K2816" s="155"/>
      <c r="L2816" s="155"/>
      <c r="M2816" s="155"/>
      <c r="N2816" s="155"/>
      <c r="O2816" s="155"/>
      <c r="P2816" s="154"/>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1247</v>
      </c>
      <c r="D2817" s="42" t="s">
        <v>2</v>
      </c>
      <c r="E2817" s="43">
        <v>1</v>
      </c>
      <c r="F2817" s="43"/>
      <c r="G2817" s="43" t="s">
        <v>1256</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1247</v>
      </c>
      <c r="D2818" s="42" t="s">
        <v>2</v>
      </c>
      <c r="E2818" s="43">
        <v>2</v>
      </c>
      <c r="F2818" s="43"/>
      <c r="G2818" s="43" t="s">
        <v>1256</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1247</v>
      </c>
      <c r="D2819" s="42" t="s">
        <v>2</v>
      </c>
      <c r="E2819" s="43">
        <v>3</v>
      </c>
      <c r="F2819" s="43"/>
      <c r="G2819" s="43" t="s">
        <v>1256</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1247</v>
      </c>
      <c r="D2820" s="42" t="s">
        <v>2</v>
      </c>
      <c r="E2820" s="43">
        <v>4</v>
      </c>
      <c r="F2820" s="43"/>
      <c r="G2820" s="43" t="s">
        <v>1256</v>
      </c>
      <c r="H2820" s="44"/>
      <c r="I2820" s="57" t="s">
        <v>58</v>
      </c>
      <c r="J2820" s="155"/>
      <c r="K2820" s="155"/>
      <c r="L2820" s="155"/>
      <c r="M2820" s="155"/>
      <c r="N2820" s="155"/>
      <c r="O2820" s="155"/>
      <c r="P2820" s="154"/>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1247</v>
      </c>
      <c r="D2821" s="42" t="s">
        <v>2</v>
      </c>
      <c r="E2821" s="43">
        <v>5</v>
      </c>
      <c r="F2821" s="43"/>
      <c r="G2821" s="43" t="s">
        <v>1256</v>
      </c>
      <c r="H2821" s="44"/>
      <c r="I2821" s="57" t="s">
        <v>65</v>
      </c>
      <c r="J2821" s="155"/>
      <c r="K2821" s="155"/>
      <c r="L2821" s="155"/>
      <c r="M2821" s="155"/>
      <c r="N2821" s="155"/>
      <c r="O2821" s="155"/>
      <c r="P2821" s="154"/>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1247</v>
      </c>
      <c r="D2822" s="42" t="s">
        <v>2</v>
      </c>
      <c r="E2822" s="43">
        <v>6</v>
      </c>
      <c r="F2822" s="43"/>
      <c r="G2822" s="43" t="s">
        <v>1256</v>
      </c>
      <c r="H2822" s="44"/>
      <c r="I2822" s="57" t="s">
        <v>72</v>
      </c>
      <c r="J2822" s="155"/>
      <c r="K2822" s="155"/>
      <c r="L2822" s="155"/>
      <c r="M2822" s="155"/>
      <c r="N2822" s="155"/>
      <c r="O2822" s="155"/>
      <c r="P2822" s="154"/>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1247</v>
      </c>
      <c r="D2823" s="42" t="s">
        <v>3</v>
      </c>
      <c r="E2823" s="43">
        <v>1</v>
      </c>
      <c r="F2823" s="43"/>
      <c r="G2823" s="43" t="s">
        <v>1256</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1247</v>
      </c>
      <c r="D2824" s="42" t="s">
        <v>3</v>
      </c>
      <c r="E2824" s="43">
        <v>2</v>
      </c>
      <c r="F2824" s="43"/>
      <c r="G2824" s="43" t="s">
        <v>1256</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1247</v>
      </c>
      <c r="D2825" s="42" t="s">
        <v>3</v>
      </c>
      <c r="E2825" s="43">
        <v>3</v>
      </c>
      <c r="F2825" s="43"/>
      <c r="G2825" s="43" t="s">
        <v>1256</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1247</v>
      </c>
      <c r="D2826" s="42" t="s">
        <v>3</v>
      </c>
      <c r="E2826" s="43">
        <v>4</v>
      </c>
      <c r="F2826" s="43"/>
      <c r="G2826" s="43" t="s">
        <v>1256</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1247</v>
      </c>
      <c r="D2827" s="42" t="s">
        <v>3</v>
      </c>
      <c r="E2827" s="43">
        <v>5</v>
      </c>
      <c r="F2827" s="43"/>
      <c r="G2827" s="43" t="s">
        <v>1256</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1247</v>
      </c>
      <c r="D2828" s="42" t="s">
        <v>3</v>
      </c>
      <c r="E2828" s="43">
        <v>6</v>
      </c>
      <c r="F2828" s="43"/>
      <c r="G2828" s="43" t="s">
        <v>1256</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1247</v>
      </c>
      <c r="D2829" s="42" t="s">
        <v>4</v>
      </c>
      <c r="E2829" s="43">
        <v>1</v>
      </c>
      <c r="F2829" s="43"/>
      <c r="G2829" s="43" t="s">
        <v>1256</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1247</v>
      </c>
      <c r="D2830" s="42" t="s">
        <v>4</v>
      </c>
      <c r="E2830" s="43">
        <v>2</v>
      </c>
      <c r="F2830" s="43"/>
      <c r="G2830" s="43" t="s">
        <v>1256</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1247</v>
      </c>
      <c r="D2831" s="42" t="s">
        <v>4</v>
      </c>
      <c r="E2831" s="43">
        <v>3</v>
      </c>
      <c r="F2831" s="43"/>
      <c r="G2831" s="43" t="s">
        <v>1256</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1247</v>
      </c>
      <c r="D2832" s="42" t="s">
        <v>4</v>
      </c>
      <c r="E2832" s="43">
        <v>4</v>
      </c>
      <c r="F2832" s="43"/>
      <c r="G2832" s="43" t="s">
        <v>1256</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1247</v>
      </c>
      <c r="D2833" s="42" t="s">
        <v>4</v>
      </c>
      <c r="E2833" s="43">
        <v>5</v>
      </c>
      <c r="F2833" s="43"/>
      <c r="G2833" s="43" t="s">
        <v>1256</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1247</v>
      </c>
      <c r="D2834" s="42" t="s">
        <v>4</v>
      </c>
      <c r="E2834" s="43">
        <v>6</v>
      </c>
      <c r="F2834" s="43"/>
      <c r="G2834" s="43" t="s">
        <v>1256</v>
      </c>
      <c r="H2834" s="44"/>
      <c r="I2834" s="57" t="s">
        <v>74</v>
      </c>
      <c r="J2834" s="155"/>
      <c r="K2834" s="155"/>
      <c r="L2834" s="155"/>
      <c r="M2834" s="155"/>
      <c r="N2834" s="155"/>
      <c r="O2834" s="155"/>
      <c r="P2834" s="154"/>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1247</v>
      </c>
      <c r="D2835" s="42" t="s">
        <v>5</v>
      </c>
      <c r="E2835" s="43">
        <v>1</v>
      </c>
      <c r="F2835" s="43"/>
      <c r="G2835" s="43" t="s">
        <v>1256</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1247</v>
      </c>
      <c r="D2836" s="42" t="s">
        <v>5</v>
      </c>
      <c r="E2836" s="43">
        <v>2</v>
      </c>
      <c r="F2836" s="43"/>
      <c r="G2836" s="43" t="s">
        <v>1256</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1247</v>
      </c>
      <c r="D2837" s="42" t="s">
        <v>5</v>
      </c>
      <c r="E2837" s="43">
        <v>3</v>
      </c>
      <c r="F2837" s="43"/>
      <c r="G2837" s="43" t="s">
        <v>1256</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1247</v>
      </c>
      <c r="D2838" s="42" t="s">
        <v>5</v>
      </c>
      <c r="E2838" s="43">
        <v>4</v>
      </c>
      <c r="F2838" s="43"/>
      <c r="G2838" s="43" t="s">
        <v>1256</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1247</v>
      </c>
      <c r="D2839" s="42" t="s">
        <v>5</v>
      </c>
      <c r="E2839" s="43">
        <v>5</v>
      </c>
      <c r="F2839" s="43"/>
      <c r="G2839" s="43" t="s">
        <v>1256</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1247</v>
      </c>
      <c r="D2840" s="42" t="s">
        <v>5</v>
      </c>
      <c r="E2840" s="43">
        <v>6</v>
      </c>
      <c r="F2840" s="43"/>
      <c r="G2840" s="43" t="s">
        <v>1256</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1247</v>
      </c>
      <c r="D2841" s="42" t="s">
        <v>1249</v>
      </c>
      <c r="E2841" s="43">
        <v>1</v>
      </c>
      <c r="F2841" s="43"/>
      <c r="G2841" s="43" t="s">
        <v>1256</v>
      </c>
      <c r="H2841" s="44"/>
      <c r="I2841" s="57" t="s">
        <v>1250</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1247</v>
      </c>
      <c r="D2842" s="42" t="s">
        <v>1249</v>
      </c>
      <c r="E2842" s="43">
        <v>2</v>
      </c>
      <c r="F2842" s="43"/>
      <c r="G2842" s="43" t="s">
        <v>1256</v>
      </c>
      <c r="H2842" s="44"/>
      <c r="I2842" s="57" t="s">
        <v>1251</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1247</v>
      </c>
      <c r="D2843" s="42" t="s">
        <v>1249</v>
      </c>
      <c r="E2843" s="43">
        <v>3</v>
      </c>
      <c r="F2843" s="43"/>
      <c r="G2843" s="43" t="s">
        <v>1256</v>
      </c>
      <c r="H2843" s="44"/>
      <c r="I2843" s="57" t="s">
        <v>1252</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1247</v>
      </c>
      <c r="D2844" s="42" t="s">
        <v>1249</v>
      </c>
      <c r="E2844" s="43">
        <v>4</v>
      </c>
      <c r="F2844" s="43"/>
      <c r="G2844" s="43" t="s">
        <v>1256</v>
      </c>
      <c r="H2844" s="44"/>
      <c r="I2844" s="57" t="s">
        <v>1253</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1247</v>
      </c>
      <c r="D2845" s="42" t="s">
        <v>1249</v>
      </c>
      <c r="E2845" s="43">
        <v>5</v>
      </c>
      <c r="F2845" s="43"/>
      <c r="G2845" s="43" t="s">
        <v>1256</v>
      </c>
      <c r="H2845" s="44"/>
      <c r="I2845" s="57" t="s">
        <v>1254</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1247</v>
      </c>
      <c r="D2846" s="42" t="s">
        <v>1249</v>
      </c>
      <c r="E2846" s="43">
        <v>6</v>
      </c>
      <c r="F2846" s="43"/>
      <c r="G2846" s="43" t="s">
        <v>1256</v>
      </c>
      <c r="H2846" s="44"/>
      <c r="I2846" s="57" t="s">
        <v>1255</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1247</v>
      </c>
      <c r="D2847" s="42" t="s">
        <v>0</v>
      </c>
      <c r="E2847" s="43">
        <v>1</v>
      </c>
      <c r="F2847" s="43"/>
      <c r="G2847" s="43" t="s">
        <v>1257</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1247</v>
      </c>
      <c r="D2848" s="42" t="s">
        <v>0</v>
      </c>
      <c r="E2848" s="43">
        <v>2</v>
      </c>
      <c r="F2848" s="43"/>
      <c r="G2848" s="43" t="s">
        <v>1257</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1247</v>
      </c>
      <c r="D2849" s="42" t="s">
        <v>0</v>
      </c>
      <c r="E2849" s="43">
        <v>3</v>
      </c>
      <c r="F2849" s="43"/>
      <c r="G2849" s="43" t="s">
        <v>1257</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1247</v>
      </c>
      <c r="D2850" s="42" t="s">
        <v>0</v>
      </c>
      <c r="E2850" s="43">
        <v>4</v>
      </c>
      <c r="F2850" s="43"/>
      <c r="G2850" s="43" t="s">
        <v>1257</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1247</v>
      </c>
      <c r="D2851" s="42" t="s">
        <v>0</v>
      </c>
      <c r="E2851" s="43">
        <v>5</v>
      </c>
      <c r="F2851" s="43"/>
      <c r="G2851" s="43" t="s">
        <v>1257</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1247</v>
      </c>
      <c r="D2852" s="42" t="s">
        <v>0</v>
      </c>
      <c r="E2852" s="43">
        <v>6</v>
      </c>
      <c r="F2852" s="43"/>
      <c r="G2852" s="43" t="s">
        <v>1257</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1247</v>
      </c>
      <c r="D2853" s="42" t="s">
        <v>1</v>
      </c>
      <c r="E2853" s="43">
        <v>1</v>
      </c>
      <c r="F2853" s="43"/>
      <c r="G2853" s="43" t="s">
        <v>1257</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1247</v>
      </c>
      <c r="D2854" s="42" t="s">
        <v>1</v>
      </c>
      <c r="E2854" s="43">
        <v>2</v>
      </c>
      <c r="F2854" s="43"/>
      <c r="G2854" s="43" t="s">
        <v>1257</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1247</v>
      </c>
      <c r="D2855" s="42" t="s">
        <v>1</v>
      </c>
      <c r="E2855" s="43">
        <v>3</v>
      </c>
      <c r="F2855" s="43"/>
      <c r="G2855" s="43" t="s">
        <v>1257</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1247</v>
      </c>
      <c r="D2856" s="42" t="s">
        <v>1</v>
      </c>
      <c r="E2856" s="43">
        <v>4</v>
      </c>
      <c r="F2856" s="43"/>
      <c r="G2856" s="43" t="s">
        <v>1257</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1247</v>
      </c>
      <c r="D2857" s="42" t="s">
        <v>1</v>
      </c>
      <c r="E2857" s="43">
        <v>5</v>
      </c>
      <c r="F2857" s="43"/>
      <c r="G2857" s="43" t="s">
        <v>1257</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1247</v>
      </c>
      <c r="D2858" s="42" t="s">
        <v>1</v>
      </c>
      <c r="E2858" s="43">
        <v>6</v>
      </c>
      <c r="F2858" s="43"/>
      <c r="G2858" s="43" t="s">
        <v>1257</v>
      </c>
      <c r="H2858" s="44"/>
      <c r="I2858" s="57" t="s">
        <v>71</v>
      </c>
      <c r="J2858" s="155"/>
      <c r="K2858" s="155"/>
      <c r="L2858" s="155"/>
      <c r="M2858" s="155"/>
      <c r="N2858" s="155"/>
      <c r="O2858" s="155"/>
      <c r="P2858" s="154"/>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1247</v>
      </c>
      <c r="D2859" s="42" t="s">
        <v>2</v>
      </c>
      <c r="E2859" s="43">
        <v>1</v>
      </c>
      <c r="F2859" s="43"/>
      <c r="G2859" s="43" t="s">
        <v>1257</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1247</v>
      </c>
      <c r="D2860" s="42" t="s">
        <v>2</v>
      </c>
      <c r="E2860" s="43">
        <v>2</v>
      </c>
      <c r="F2860" s="43"/>
      <c r="G2860" s="43" t="s">
        <v>1257</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1247</v>
      </c>
      <c r="D2861" s="42" t="s">
        <v>2</v>
      </c>
      <c r="E2861" s="43">
        <v>3</v>
      </c>
      <c r="F2861" s="43"/>
      <c r="G2861" s="43" t="s">
        <v>1257</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1247</v>
      </c>
      <c r="D2862" s="42" t="s">
        <v>2</v>
      </c>
      <c r="E2862" s="43">
        <v>4</v>
      </c>
      <c r="F2862" s="43"/>
      <c r="G2862" s="43" t="s">
        <v>1257</v>
      </c>
      <c r="H2862" s="44"/>
      <c r="I2862" s="57" t="s">
        <v>58</v>
      </c>
      <c r="J2862" s="155"/>
      <c r="K2862" s="155"/>
      <c r="L2862" s="155"/>
      <c r="M2862" s="155"/>
      <c r="N2862" s="155"/>
      <c r="O2862" s="155"/>
      <c r="P2862" s="154"/>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1247</v>
      </c>
      <c r="D2863" s="42" t="s">
        <v>2</v>
      </c>
      <c r="E2863" s="43">
        <v>5</v>
      </c>
      <c r="F2863" s="43"/>
      <c r="G2863" s="43" t="s">
        <v>1257</v>
      </c>
      <c r="H2863" s="44"/>
      <c r="I2863" s="57" t="s">
        <v>65</v>
      </c>
      <c r="J2863" s="155"/>
      <c r="K2863" s="155"/>
      <c r="L2863" s="155"/>
      <c r="M2863" s="155"/>
      <c r="N2863" s="155"/>
      <c r="O2863" s="155"/>
      <c r="P2863" s="154"/>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1247</v>
      </c>
      <c r="D2864" s="42" t="s">
        <v>2</v>
      </c>
      <c r="E2864" s="43">
        <v>6</v>
      </c>
      <c r="F2864" s="43"/>
      <c r="G2864" s="43" t="s">
        <v>1257</v>
      </c>
      <c r="H2864" s="44"/>
      <c r="I2864" s="57" t="s">
        <v>72</v>
      </c>
      <c r="J2864" s="155"/>
      <c r="K2864" s="155"/>
      <c r="L2864" s="155"/>
      <c r="M2864" s="155"/>
      <c r="N2864" s="155"/>
      <c r="O2864" s="155"/>
      <c r="P2864" s="154"/>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1247</v>
      </c>
      <c r="D2865" s="42" t="s">
        <v>3</v>
      </c>
      <c r="E2865" s="43">
        <v>1</v>
      </c>
      <c r="F2865" s="43"/>
      <c r="G2865" s="43" t="s">
        <v>1257</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1247</v>
      </c>
      <c r="D2866" s="42" t="s">
        <v>3</v>
      </c>
      <c r="E2866" s="43">
        <v>2</v>
      </c>
      <c r="F2866" s="43"/>
      <c r="G2866" s="43" t="s">
        <v>1257</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1247</v>
      </c>
      <c r="D2867" s="42" t="s">
        <v>3</v>
      </c>
      <c r="E2867" s="43">
        <v>3</v>
      </c>
      <c r="F2867" s="43"/>
      <c r="G2867" s="43" t="s">
        <v>1257</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1247</v>
      </c>
      <c r="D2868" s="42" t="s">
        <v>3</v>
      </c>
      <c r="E2868" s="43">
        <v>4</v>
      </c>
      <c r="F2868" s="43"/>
      <c r="G2868" s="43" t="s">
        <v>1257</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1247</v>
      </c>
      <c r="D2869" s="42" t="s">
        <v>3</v>
      </c>
      <c r="E2869" s="43">
        <v>5</v>
      </c>
      <c r="F2869" s="43"/>
      <c r="G2869" s="43" t="s">
        <v>1257</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1247</v>
      </c>
      <c r="D2870" s="42" t="s">
        <v>3</v>
      </c>
      <c r="E2870" s="43">
        <v>6</v>
      </c>
      <c r="F2870" s="43"/>
      <c r="G2870" s="43" t="s">
        <v>1257</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1247</v>
      </c>
      <c r="D2871" s="42" t="s">
        <v>4</v>
      </c>
      <c r="E2871" s="43">
        <v>1</v>
      </c>
      <c r="F2871" s="43"/>
      <c r="G2871" s="43" t="s">
        <v>1257</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1247</v>
      </c>
      <c r="D2872" s="42" t="s">
        <v>4</v>
      </c>
      <c r="E2872" s="43">
        <v>2</v>
      </c>
      <c r="F2872" s="43"/>
      <c r="G2872" s="43" t="s">
        <v>1257</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1247</v>
      </c>
      <c r="D2873" s="42" t="s">
        <v>4</v>
      </c>
      <c r="E2873" s="43">
        <v>3</v>
      </c>
      <c r="F2873" s="43"/>
      <c r="G2873" s="43" t="s">
        <v>1257</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1247</v>
      </c>
      <c r="D2874" s="42" t="s">
        <v>4</v>
      </c>
      <c r="E2874" s="43">
        <v>4</v>
      </c>
      <c r="F2874" s="43"/>
      <c r="G2874" s="43" t="s">
        <v>1257</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1247</v>
      </c>
      <c r="D2875" s="42" t="s">
        <v>4</v>
      </c>
      <c r="E2875" s="43">
        <v>5</v>
      </c>
      <c r="F2875" s="43"/>
      <c r="G2875" s="43" t="s">
        <v>1257</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1247</v>
      </c>
      <c r="D2876" s="42" t="s">
        <v>4</v>
      </c>
      <c r="E2876" s="43">
        <v>6</v>
      </c>
      <c r="F2876" s="43"/>
      <c r="G2876" s="43" t="s">
        <v>1257</v>
      </c>
      <c r="H2876" s="44"/>
      <c r="I2876" s="57" t="s">
        <v>74</v>
      </c>
      <c r="J2876" s="155"/>
      <c r="K2876" s="155"/>
      <c r="L2876" s="155"/>
      <c r="M2876" s="155"/>
      <c r="N2876" s="155"/>
      <c r="O2876" s="155"/>
      <c r="P2876" s="154"/>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1247</v>
      </c>
      <c r="D2877" s="42" t="s">
        <v>5</v>
      </c>
      <c r="E2877" s="43">
        <v>1</v>
      </c>
      <c r="F2877" s="43"/>
      <c r="G2877" s="43" t="s">
        <v>1257</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1247</v>
      </c>
      <c r="D2878" s="42" t="s">
        <v>5</v>
      </c>
      <c r="E2878" s="43">
        <v>2</v>
      </c>
      <c r="F2878" s="43"/>
      <c r="G2878" s="43" t="s">
        <v>1257</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1247</v>
      </c>
      <c r="D2879" s="42" t="s">
        <v>5</v>
      </c>
      <c r="E2879" s="43">
        <v>3</v>
      </c>
      <c r="F2879" s="43"/>
      <c r="G2879" s="43" t="s">
        <v>1257</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1247</v>
      </c>
      <c r="D2880" s="42" t="s">
        <v>5</v>
      </c>
      <c r="E2880" s="43">
        <v>4</v>
      </c>
      <c r="F2880" s="43"/>
      <c r="G2880" s="43" t="s">
        <v>1257</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1247</v>
      </c>
      <c r="D2881" s="42" t="s">
        <v>5</v>
      </c>
      <c r="E2881" s="43">
        <v>5</v>
      </c>
      <c r="F2881" s="43"/>
      <c r="G2881" s="43" t="s">
        <v>1257</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1247</v>
      </c>
      <c r="D2882" s="42" t="s">
        <v>5</v>
      </c>
      <c r="E2882" s="43">
        <v>6</v>
      </c>
      <c r="F2882" s="43"/>
      <c r="G2882" s="43" t="s">
        <v>1257</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1247</v>
      </c>
      <c r="D2883" s="42" t="s">
        <v>1249</v>
      </c>
      <c r="E2883" s="43">
        <v>1</v>
      </c>
      <c r="F2883" s="43"/>
      <c r="G2883" s="43" t="s">
        <v>1257</v>
      </c>
      <c r="H2883" s="44"/>
      <c r="I2883" s="57" t="s">
        <v>1250</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1247</v>
      </c>
      <c r="D2884" s="42" t="s">
        <v>1249</v>
      </c>
      <c r="E2884" s="43">
        <v>2</v>
      </c>
      <c r="F2884" s="43"/>
      <c r="G2884" s="43" t="s">
        <v>1257</v>
      </c>
      <c r="H2884" s="44"/>
      <c r="I2884" s="57" t="s">
        <v>1251</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1247</v>
      </c>
      <c r="D2885" s="42" t="s">
        <v>1249</v>
      </c>
      <c r="E2885" s="43">
        <v>3</v>
      </c>
      <c r="F2885" s="43"/>
      <c r="G2885" s="43" t="s">
        <v>1257</v>
      </c>
      <c r="H2885" s="44"/>
      <c r="I2885" s="57" t="s">
        <v>1252</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1247</v>
      </c>
      <c r="D2886" s="42" t="s">
        <v>1249</v>
      </c>
      <c r="E2886" s="43">
        <v>4</v>
      </c>
      <c r="F2886" s="43"/>
      <c r="G2886" s="43" t="s">
        <v>1257</v>
      </c>
      <c r="H2886" s="44"/>
      <c r="I2886" s="57" t="s">
        <v>1253</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1247</v>
      </c>
      <c r="D2887" s="42" t="s">
        <v>1249</v>
      </c>
      <c r="E2887" s="43">
        <v>5</v>
      </c>
      <c r="F2887" s="43"/>
      <c r="G2887" s="43" t="s">
        <v>1257</v>
      </c>
      <c r="H2887" s="44"/>
      <c r="I2887" s="57" t="s">
        <v>1254</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1247</v>
      </c>
      <c r="D2888" s="42" t="s">
        <v>1249</v>
      </c>
      <c r="E2888" s="43">
        <v>6</v>
      </c>
      <c r="F2888" s="43"/>
      <c r="G2888" s="43" t="s">
        <v>1257</v>
      </c>
      <c r="H2888" s="44"/>
      <c r="I2888" s="57" t="s">
        <v>1255</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1256</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1256</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1256</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1256</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1256</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1256</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1256</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1256</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1256</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1256</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1256</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1256</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1256</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1256</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1256</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1256</v>
      </c>
      <c r="H2904" s="44"/>
      <c r="I2904" s="57" t="s">
        <v>51</v>
      </c>
      <c r="J2904" s="144">
        <v>-4.88E-5</v>
      </c>
      <c r="K2904" s="51">
        <v>-1.03E-4</v>
      </c>
      <c r="L2904" s="51">
        <v>-1.07E-4</v>
      </c>
      <c r="M2904" s="51">
        <v>-9.1899999999999998E-5</v>
      </c>
      <c r="N2904" s="51">
        <v>2.5400000000000001E-5</v>
      </c>
      <c r="O2904" s="51">
        <v>2.5899999999999999E-5</v>
      </c>
      <c r="P2904" s="14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1256</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1256</v>
      </c>
      <c r="H2906" s="44"/>
      <c r="I2906" s="57" t="s">
        <v>53</v>
      </c>
      <c r="J2906" s="144">
        <v>-1.06E-4</v>
      </c>
      <c r="K2906" s="51">
        <v>-1.85E-4</v>
      </c>
      <c r="L2906" s="51">
        <v>-5.1E-5</v>
      </c>
      <c r="M2906" s="51">
        <v>-9.0600000000000007E-5</v>
      </c>
      <c r="N2906" s="51">
        <v>1.2799999999999999E-5</v>
      </c>
      <c r="O2906" s="51">
        <v>9.2600000000000001E-5</v>
      </c>
      <c r="P2906" s="14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1256</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1256</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1256</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1256</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1256</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1256</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1256</v>
      </c>
      <c r="H2913" s="44"/>
      <c r="I2913" s="57" t="s">
        <v>64</v>
      </c>
      <c r="J2913" s="144">
        <v>5.63E-5</v>
      </c>
      <c r="K2913" s="51">
        <v>-2.7100000000000001E-5</v>
      </c>
      <c r="L2913" s="51">
        <v>8.4400000000000005E-6</v>
      </c>
      <c r="M2913" s="51">
        <v>-1.45E-4</v>
      </c>
      <c r="N2913" s="51">
        <v>1.74E-4</v>
      </c>
      <c r="O2913" s="51">
        <v>8.4599999999999996E-5</v>
      </c>
      <c r="P2913" s="14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1256</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1256</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1256</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1256</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1256</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1256</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1257</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1257</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1257</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1257</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1257</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1257</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1257</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1257</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1257</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1257</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1257</v>
      </c>
      <c r="H2930" s="44"/>
      <c r="I2930" s="57" t="s">
        <v>45</v>
      </c>
      <c r="J2930" s="143">
        <v>5.77E-5</v>
      </c>
      <c r="K2930" s="143">
        <v>9.1299999999999997E-5</v>
      </c>
      <c r="L2930" s="143">
        <v>-2.26E-6</v>
      </c>
      <c r="M2930" s="143">
        <v>-1.7200000000000001E-5</v>
      </c>
      <c r="N2930" s="143">
        <v>1.65E-4</v>
      </c>
      <c r="O2930" s="143">
        <v>1.9000000000000001E-4</v>
      </c>
      <c r="P2930" s="14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1257</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1257</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1257</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1257</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1257</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1257</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1257</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1257</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1257</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1257</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1257</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1257</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1257</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1257</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1257</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1257</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1257</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1257</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1257</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1257</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row r="2951" spans="1:16" x14ac:dyDescent="0.25">
      <c r="A2951" s="47">
        <f xml:space="preserve"> ROW( data_scaledImpacts[[#This Row],[row_id]] ) - ROW( data_scaledImpacts[[#Headers],[row_id]] )</f>
        <v>2950</v>
      </c>
      <c r="B2951" s="54" t="str">
        <f xml:space="preserve"> _xlfn.TEXTJOIN( "", , data_scaledImpacts[[#This Row],[sector]:[impactType]] )</f>
        <v>VibrioCanESM21N/ADirectMedCost</v>
      </c>
      <c r="C2951" s="42" t="s">
        <v>1303</v>
      </c>
      <c r="D2951" s="42" t="s">
        <v>0</v>
      </c>
      <c r="E2951" s="43">
        <v>1</v>
      </c>
      <c r="F2951" s="43"/>
      <c r="G2951" s="43" t="s">
        <v>201</v>
      </c>
      <c r="H2951" s="17" t="s">
        <v>1304</v>
      </c>
      <c r="I2951" s="57"/>
      <c r="J2951" s="126"/>
      <c r="K2951" s="17">
        <v>3404069.7570418101</v>
      </c>
      <c r="L2951" s="46"/>
      <c r="M2951" s="17">
        <v>854666.06765454495</v>
      </c>
      <c r="N2951" s="17">
        <v>5860995.7824109104</v>
      </c>
      <c r="O2951" s="17">
        <v>1069755.8422000001</v>
      </c>
      <c r="P2951" s="17">
        <v>366285.73279090901</v>
      </c>
    </row>
    <row r="2952" spans="1:16" x14ac:dyDescent="0.25">
      <c r="A2952" s="47">
        <f xml:space="preserve"> ROW( data_scaledImpacts[[#This Row],[row_id]] ) - ROW( data_scaledImpacts[[#Headers],[row_id]] )</f>
        <v>2951</v>
      </c>
      <c r="B2952" s="54" t="str">
        <f xml:space="preserve"> _xlfn.TEXTJOIN( "", , data_scaledImpacts[[#This Row],[sector]:[impactType]] )</f>
        <v>VibrioCanESM22N/ADirectMedCost</v>
      </c>
      <c r="C2952" s="42" t="s">
        <v>1303</v>
      </c>
      <c r="D2952" s="42" t="s">
        <v>0</v>
      </c>
      <c r="E2952" s="43">
        <v>2</v>
      </c>
      <c r="F2952" s="43"/>
      <c r="G2952" s="43" t="s">
        <v>201</v>
      </c>
      <c r="H2952" s="17" t="s">
        <v>1304</v>
      </c>
      <c r="I2952" s="57"/>
      <c r="J2952" s="126"/>
      <c r="K2952" s="17">
        <v>6504526.0485363603</v>
      </c>
      <c r="L2952" s="46"/>
      <c r="M2952" s="17">
        <v>1926560.16605272</v>
      </c>
      <c r="N2952" s="17">
        <v>12625459.342867199</v>
      </c>
      <c r="O2952" s="17">
        <v>2282595.4046181799</v>
      </c>
      <c r="P2952" s="17">
        <v>1103271.8479563601</v>
      </c>
    </row>
    <row r="2953" spans="1:16" x14ac:dyDescent="0.25">
      <c r="A2953" s="47">
        <f xml:space="preserve"> ROW( data_scaledImpacts[[#This Row],[row_id]] ) - ROW( data_scaledImpacts[[#Headers],[row_id]] )</f>
        <v>2952</v>
      </c>
      <c r="B2953" s="54" t="str">
        <f xml:space="preserve"> _xlfn.TEXTJOIN( "", , data_scaledImpacts[[#This Row],[sector]:[impactType]] )</f>
        <v>VibrioCanESM23N/ADirectMedCost</v>
      </c>
      <c r="C2953" s="42" t="s">
        <v>1303</v>
      </c>
      <c r="D2953" s="42" t="s">
        <v>0</v>
      </c>
      <c r="E2953" s="43">
        <v>3</v>
      </c>
      <c r="F2953" s="43"/>
      <c r="G2953" s="43" t="s">
        <v>201</v>
      </c>
      <c r="H2953" s="17" t="s">
        <v>1304</v>
      </c>
      <c r="I2953" s="57"/>
      <c r="J2953" s="126"/>
      <c r="K2953" s="17">
        <v>9662962.4790908992</v>
      </c>
      <c r="L2953" s="46"/>
      <c r="M2953" s="17">
        <v>3566717.4045781801</v>
      </c>
      <c r="N2953" s="17">
        <v>18528418.872067198</v>
      </c>
      <c r="O2953" s="17">
        <v>3591003.78003636</v>
      </c>
      <c r="P2953" s="17">
        <v>1705430.46278181</v>
      </c>
    </row>
    <row r="2954" spans="1:16" x14ac:dyDescent="0.25">
      <c r="A2954" s="47">
        <f xml:space="preserve"> ROW( data_scaledImpacts[[#This Row],[row_id]] ) - ROW( data_scaledImpacts[[#Headers],[row_id]] )</f>
        <v>2953</v>
      </c>
      <c r="B2954" s="54" t="str">
        <f xml:space="preserve"> _xlfn.TEXTJOIN( "", , data_scaledImpacts[[#This Row],[sector]:[impactType]] )</f>
        <v>VibrioCanESM24N/ADirectMedCost</v>
      </c>
      <c r="C2954" s="42" t="s">
        <v>1303</v>
      </c>
      <c r="D2954" s="42" t="s">
        <v>0</v>
      </c>
      <c r="E2954" s="43">
        <v>4</v>
      </c>
      <c r="F2954" s="43"/>
      <c r="G2954" s="43" t="s">
        <v>201</v>
      </c>
      <c r="H2954" s="17" t="s">
        <v>1304</v>
      </c>
      <c r="I2954" s="57"/>
      <c r="J2954" s="126"/>
      <c r="K2954" s="17">
        <v>14228631.5489618</v>
      </c>
      <c r="L2954" s="46"/>
      <c r="M2954" s="17">
        <v>5558269.8887054501</v>
      </c>
      <c r="N2954" s="17">
        <v>25964473.517121799</v>
      </c>
      <c r="O2954" s="17">
        <v>5194682.9959818097</v>
      </c>
      <c r="P2954" s="17">
        <v>2712232.9333872702</v>
      </c>
    </row>
    <row r="2955" spans="1:16" x14ac:dyDescent="0.25">
      <c r="A2955" s="47">
        <f xml:space="preserve"> ROW( data_scaledImpacts[[#This Row],[row_id]] ) - ROW( data_scaledImpacts[[#Headers],[row_id]] )</f>
        <v>2954</v>
      </c>
      <c r="B2955" s="54" t="str">
        <f xml:space="preserve"> _xlfn.TEXTJOIN( "", , data_scaledImpacts[[#This Row],[sector]:[impactType]] )</f>
        <v>VibrioCanESM25N/ADirectMedCost</v>
      </c>
      <c r="C2955" s="42" t="s">
        <v>1303</v>
      </c>
      <c r="D2955" s="42" t="s">
        <v>0</v>
      </c>
      <c r="E2955" s="43">
        <v>5</v>
      </c>
      <c r="F2955" s="43"/>
      <c r="G2955" s="43" t="s">
        <v>201</v>
      </c>
      <c r="H2955" s="17" t="s">
        <v>1304</v>
      </c>
      <c r="I2955" s="57"/>
      <c r="J2955" s="126"/>
      <c r="K2955" s="17">
        <v>18841955.123229001</v>
      </c>
      <c r="L2955" s="46"/>
      <c r="M2955" s="17">
        <v>7630773.0381781803</v>
      </c>
      <c r="N2955" s="17">
        <v>32653692.470049001</v>
      </c>
      <c r="O2955" s="17">
        <v>6164854.7527999999</v>
      </c>
      <c r="P2955" s="17">
        <v>3671569.1897145398</v>
      </c>
    </row>
    <row r="2956" spans="1:16" x14ac:dyDescent="0.25">
      <c r="A2956" s="47">
        <f xml:space="preserve"> ROW( data_scaledImpacts[[#This Row],[row_id]] ) - ROW( data_scaledImpacts[[#Headers],[row_id]] )</f>
        <v>2955</v>
      </c>
      <c r="B2956" s="54" t="str">
        <f xml:space="preserve"> _xlfn.TEXTJOIN( "", , data_scaledImpacts[[#This Row],[sector]:[impactType]] )</f>
        <v>VibrioCanESM26N/ADirectMedCost</v>
      </c>
      <c r="C2956" s="42" t="s">
        <v>1303</v>
      </c>
      <c r="D2956" s="42" t="s">
        <v>0</v>
      </c>
      <c r="E2956" s="43">
        <v>6</v>
      </c>
      <c r="F2956" s="43"/>
      <c r="G2956" s="43" t="s">
        <v>201</v>
      </c>
      <c r="H2956" s="17" t="s">
        <v>1304</v>
      </c>
      <c r="I2956" s="57"/>
      <c r="J2956" s="126"/>
      <c r="K2956" s="17">
        <v>24668959.405156299</v>
      </c>
      <c r="L2956" s="46"/>
      <c r="M2956" s="17">
        <v>10186585.948450901</v>
      </c>
      <c r="N2956" s="17">
        <v>43218402.233649001</v>
      </c>
      <c r="O2956" s="17">
        <v>8325204.1811636304</v>
      </c>
      <c r="P2956" s="17">
        <v>5054863.7674963605</v>
      </c>
    </row>
    <row r="2957" spans="1:16" x14ac:dyDescent="0.25">
      <c r="A2957" s="47">
        <f xml:space="preserve"> ROW( data_scaledImpacts[[#This Row],[row_id]] ) - ROW( data_scaledImpacts[[#Headers],[row_id]] )</f>
        <v>2956</v>
      </c>
      <c r="B2957" s="54" t="str">
        <f xml:space="preserve"> _xlfn.TEXTJOIN( "", , data_scaledImpacts[[#This Row],[sector]:[impactType]] )</f>
        <v>VibrioCCSM41N/ADirectMedCost</v>
      </c>
      <c r="C2957" s="42" t="s">
        <v>1303</v>
      </c>
      <c r="D2957" s="42" t="s">
        <v>1</v>
      </c>
      <c r="E2957" s="43">
        <v>1</v>
      </c>
      <c r="F2957" s="43"/>
      <c r="G2957" s="43" t="s">
        <v>201</v>
      </c>
      <c r="H2957" s="17" t="s">
        <v>1304</v>
      </c>
      <c r="I2957" s="57"/>
      <c r="J2957" s="126"/>
      <c r="K2957" s="17">
        <v>2047452.3625109</v>
      </c>
      <c r="L2957" s="46"/>
      <c r="M2957" s="17">
        <v>553105.03750181803</v>
      </c>
      <c r="N2957" s="17">
        <v>4573615.9674527301</v>
      </c>
      <c r="O2957" s="17">
        <v>1086967.88994545</v>
      </c>
      <c r="P2957" s="17">
        <v>361481.504223636</v>
      </c>
    </row>
    <row r="2958" spans="1:16" x14ac:dyDescent="0.25">
      <c r="A2958" s="47">
        <f xml:space="preserve"> ROW( data_scaledImpacts[[#This Row],[row_id]] ) - ROW( data_scaledImpacts[[#Headers],[row_id]] )</f>
        <v>2957</v>
      </c>
      <c r="B2958" s="54" t="str">
        <f xml:space="preserve"> _xlfn.TEXTJOIN( "", , data_scaledImpacts[[#This Row],[sector]:[impactType]] )</f>
        <v>VibrioCCSM42N/ADirectMedCost</v>
      </c>
      <c r="C2958" s="42" t="s">
        <v>1303</v>
      </c>
      <c r="D2958" s="42" t="s">
        <v>1</v>
      </c>
      <c r="E2958" s="43">
        <v>2</v>
      </c>
      <c r="F2958" s="43"/>
      <c r="G2958" s="43" t="s">
        <v>201</v>
      </c>
      <c r="H2958" s="17" t="s">
        <v>1304</v>
      </c>
      <c r="I2958" s="57"/>
      <c r="J2958" s="126"/>
      <c r="K2958" s="17">
        <v>4417176.2030563597</v>
      </c>
      <c r="L2958" s="46"/>
      <c r="M2958" s="17">
        <v>1292800.5367145401</v>
      </c>
      <c r="N2958" s="17">
        <v>9698108.7852127291</v>
      </c>
      <c r="O2958" s="17">
        <v>1950787.8237272699</v>
      </c>
      <c r="P2958" s="17">
        <v>823454.60819818103</v>
      </c>
    </row>
    <row r="2959" spans="1:16" x14ac:dyDescent="0.25">
      <c r="A2959" s="47">
        <f xml:space="preserve"> ROW( data_scaledImpacts[[#This Row],[row_id]] ) - ROW( data_scaledImpacts[[#Headers],[row_id]] )</f>
        <v>2958</v>
      </c>
      <c r="B2959" s="54" t="str">
        <f xml:space="preserve"> _xlfn.TEXTJOIN( "", , data_scaledImpacts[[#This Row],[sector]:[impactType]] )</f>
        <v>VibrioCCSM43N/ADirectMedCost</v>
      </c>
      <c r="C2959" s="42" t="s">
        <v>1303</v>
      </c>
      <c r="D2959" s="42" t="s">
        <v>1</v>
      </c>
      <c r="E2959" s="43">
        <v>3</v>
      </c>
      <c r="F2959" s="43"/>
      <c r="G2959" s="43" t="s">
        <v>201</v>
      </c>
      <c r="H2959" s="17" t="s">
        <v>1304</v>
      </c>
      <c r="I2959" s="57"/>
      <c r="J2959" s="126"/>
      <c r="K2959" s="17">
        <v>7897663.6712199897</v>
      </c>
      <c r="L2959" s="46"/>
      <c r="M2959" s="17">
        <v>2437357.3501963601</v>
      </c>
      <c r="N2959" s="17">
        <v>17490068.3657763</v>
      </c>
      <c r="O2959" s="17">
        <v>3549147.0088363602</v>
      </c>
      <c r="P2959" s="17">
        <v>1223081.43316909</v>
      </c>
    </row>
    <row r="2960" spans="1:16" x14ac:dyDescent="0.25">
      <c r="A2960" s="47">
        <f xml:space="preserve"> ROW( data_scaledImpacts[[#This Row],[row_id]] ) - ROW( data_scaledImpacts[[#Headers],[row_id]] )</f>
        <v>2959</v>
      </c>
      <c r="B2960" s="54" t="str">
        <f xml:space="preserve"> _xlfn.TEXTJOIN( "", , data_scaledImpacts[[#This Row],[sector]:[impactType]] )</f>
        <v>VibrioCCSM44N/ADirectMedCost</v>
      </c>
      <c r="C2960" s="42" t="s">
        <v>1303</v>
      </c>
      <c r="D2960" s="42" t="s">
        <v>1</v>
      </c>
      <c r="E2960" s="43">
        <v>4</v>
      </c>
      <c r="F2960" s="43"/>
      <c r="G2960" s="43" t="s">
        <v>201</v>
      </c>
      <c r="H2960" s="17" t="s">
        <v>1304</v>
      </c>
      <c r="I2960" s="57"/>
      <c r="J2960" s="126"/>
      <c r="K2960" s="17">
        <v>10723092.498083601</v>
      </c>
      <c r="L2960" s="46"/>
      <c r="M2960" s="17">
        <v>4000780.4303599899</v>
      </c>
      <c r="N2960" s="17">
        <v>23384765.303521801</v>
      </c>
      <c r="O2960" s="17">
        <v>4601107.8528909096</v>
      </c>
      <c r="P2960" s="17">
        <v>2099008.2772599999</v>
      </c>
    </row>
    <row r="2961" spans="1:16" x14ac:dyDescent="0.25">
      <c r="A2961" s="47">
        <f xml:space="preserve"> ROW( data_scaledImpacts[[#This Row],[row_id]] ) - ROW( data_scaledImpacts[[#Headers],[row_id]] )</f>
        <v>2960</v>
      </c>
      <c r="B2961" s="54" t="str">
        <f xml:space="preserve"> _xlfn.TEXTJOIN( "", , data_scaledImpacts[[#This Row],[sector]:[impactType]] )</f>
        <v>VibrioCCSM45N/ADirectMedCost</v>
      </c>
      <c r="C2961" s="42" t="s">
        <v>1303</v>
      </c>
      <c r="D2961" s="42" t="s">
        <v>1</v>
      </c>
      <c r="E2961" s="43">
        <v>5</v>
      </c>
      <c r="F2961" s="43"/>
      <c r="G2961" s="43" t="s">
        <v>201</v>
      </c>
      <c r="H2961" s="17" t="s">
        <v>1304</v>
      </c>
      <c r="I2961" s="57"/>
      <c r="J2961" s="126"/>
      <c r="K2961" s="17">
        <v>14257185.908538099</v>
      </c>
      <c r="L2961" s="46"/>
      <c r="M2961" s="17">
        <v>4804860.5467054499</v>
      </c>
      <c r="N2961" s="17">
        <v>32949518.789049</v>
      </c>
      <c r="O2961" s="17">
        <v>6864727.3894909099</v>
      </c>
      <c r="P2961" s="17">
        <v>2250095.4215327199</v>
      </c>
    </row>
    <row r="2962" spans="1:16" x14ac:dyDescent="0.25">
      <c r="A2962" s="47">
        <f xml:space="preserve"> ROW( data_scaledImpacts[[#This Row],[row_id]] ) - ROW( data_scaledImpacts[[#Headers],[row_id]] )</f>
        <v>2961</v>
      </c>
      <c r="B2962" s="54" t="str">
        <f xml:space="preserve"> _xlfn.TEXTJOIN( "", , data_scaledImpacts[[#This Row],[sector]:[impactType]] )</f>
        <v>VibrioGFDL-CM31N/ADirectMedCost</v>
      </c>
      <c r="C2962" s="42" t="s">
        <v>1303</v>
      </c>
      <c r="D2962" s="42" t="s">
        <v>5</v>
      </c>
      <c r="E2962" s="43">
        <v>1</v>
      </c>
      <c r="F2962" s="43"/>
      <c r="G2962" s="43" t="s">
        <v>201</v>
      </c>
      <c r="H2962" s="17" t="s">
        <v>1304</v>
      </c>
      <c r="I2962" s="57"/>
      <c r="J2962" s="126"/>
      <c r="K2962" s="17">
        <v>3747717.92120363</v>
      </c>
      <c r="L2962" s="46"/>
      <c r="M2962" s="17">
        <v>589894.72084181802</v>
      </c>
      <c r="N2962" s="17">
        <v>7352926.5393545404</v>
      </c>
      <c r="O2962" s="17">
        <v>1608108.0584181801</v>
      </c>
      <c r="P2962" s="17">
        <v>378369.61882545397</v>
      </c>
    </row>
    <row r="2963" spans="1:16" x14ac:dyDescent="0.25">
      <c r="A2963" s="47">
        <f xml:space="preserve"> ROW( data_scaledImpacts[[#This Row],[row_id]] ) - ROW( data_scaledImpacts[[#Headers],[row_id]] )</f>
        <v>2962</v>
      </c>
      <c r="B2963" s="54" t="str">
        <f xml:space="preserve"> _xlfn.TEXTJOIN( "", , data_scaledImpacts[[#This Row],[sector]:[impactType]] )</f>
        <v>VibrioGFDL-CM32N/ADirectMedCost</v>
      </c>
      <c r="C2963" s="42" t="s">
        <v>1303</v>
      </c>
      <c r="D2963" s="42" t="s">
        <v>5</v>
      </c>
      <c r="E2963" s="43">
        <v>2</v>
      </c>
      <c r="F2963" s="43"/>
      <c r="G2963" s="43" t="s">
        <v>201</v>
      </c>
      <c r="H2963" s="17" t="s">
        <v>1304</v>
      </c>
      <c r="I2963" s="57"/>
      <c r="J2963" s="126"/>
      <c r="K2963" s="17">
        <v>6438511.0748090902</v>
      </c>
      <c r="L2963" s="46"/>
      <c r="M2963" s="17">
        <v>1416130.46875636</v>
      </c>
      <c r="N2963" s="17">
        <v>14287304.627394499</v>
      </c>
      <c r="O2963" s="17">
        <v>3057582.1261636298</v>
      </c>
      <c r="P2963" s="17">
        <v>821391.86621636304</v>
      </c>
    </row>
    <row r="2964" spans="1:16" x14ac:dyDescent="0.25">
      <c r="A2964" s="47">
        <f xml:space="preserve"> ROW( data_scaledImpacts[[#This Row],[row_id]] ) - ROW( data_scaledImpacts[[#Headers],[row_id]] )</f>
        <v>2963</v>
      </c>
      <c r="B2964" s="54" t="str">
        <f xml:space="preserve"> _xlfn.TEXTJOIN( "", , data_scaledImpacts[[#This Row],[sector]:[impactType]] )</f>
        <v>VibrioGFDL-CM33N/ADirectMedCost</v>
      </c>
      <c r="C2964" s="42" t="s">
        <v>1303</v>
      </c>
      <c r="D2964" s="42" t="s">
        <v>5</v>
      </c>
      <c r="E2964" s="43">
        <v>3</v>
      </c>
      <c r="F2964" s="43"/>
      <c r="G2964" s="43" t="s">
        <v>201</v>
      </c>
      <c r="H2964" s="17" t="s">
        <v>1304</v>
      </c>
      <c r="I2964" s="57"/>
      <c r="J2964" s="126"/>
      <c r="K2964" s="17">
        <v>11114821.6989909</v>
      </c>
      <c r="L2964" s="46"/>
      <c r="M2964" s="17">
        <v>2782895.53757818</v>
      </c>
      <c r="N2964" s="17">
        <v>21688937.426976301</v>
      </c>
      <c r="O2964" s="17">
        <v>4727409.6454363596</v>
      </c>
      <c r="P2964" s="17">
        <v>1572417.61543636</v>
      </c>
    </row>
    <row r="2965" spans="1:16" x14ac:dyDescent="0.25">
      <c r="A2965" s="47">
        <f xml:space="preserve"> ROW( data_scaledImpacts[[#This Row],[row_id]] ) - ROW( data_scaledImpacts[[#Headers],[row_id]] )</f>
        <v>2964</v>
      </c>
      <c r="B2965" s="54" t="str">
        <f xml:space="preserve"> _xlfn.TEXTJOIN( "", , data_scaledImpacts[[#This Row],[sector]:[impactType]] )</f>
        <v>VibrioGFDL-CM34N/ADirectMedCost</v>
      </c>
      <c r="C2965" s="42" t="s">
        <v>1303</v>
      </c>
      <c r="D2965" s="42" t="s">
        <v>5</v>
      </c>
      <c r="E2965" s="43">
        <v>4</v>
      </c>
      <c r="F2965" s="43"/>
      <c r="G2965" s="43" t="s">
        <v>201</v>
      </c>
      <c r="H2965" s="17" t="s">
        <v>1304</v>
      </c>
      <c r="I2965" s="57"/>
      <c r="J2965" s="126"/>
      <c r="K2965" s="17">
        <v>15592174.5447472</v>
      </c>
      <c r="L2965" s="46"/>
      <c r="M2965" s="17">
        <v>3833099.3353418098</v>
      </c>
      <c r="N2965" s="17">
        <v>30974536.605267201</v>
      </c>
      <c r="O2965" s="17">
        <v>6463102.8143090904</v>
      </c>
      <c r="P2965" s="17">
        <v>2268630.3828072702</v>
      </c>
    </row>
    <row r="2966" spans="1:16" x14ac:dyDescent="0.25">
      <c r="A2966" s="47">
        <f xml:space="preserve"> ROW( data_scaledImpacts[[#This Row],[row_id]] ) - ROW( data_scaledImpacts[[#Headers],[row_id]] )</f>
        <v>2965</v>
      </c>
      <c r="B2966" s="54" t="str">
        <f xml:space="preserve"> _xlfn.TEXTJOIN( "", , data_scaledImpacts[[#This Row],[sector]:[impactType]] )</f>
        <v>VibrioGFDL-CM35N/ADirectMedCost</v>
      </c>
      <c r="C2966" s="42" t="s">
        <v>1303</v>
      </c>
      <c r="D2966" s="42" t="s">
        <v>5</v>
      </c>
      <c r="E2966" s="43">
        <v>5</v>
      </c>
      <c r="F2966" s="43"/>
      <c r="G2966" s="43" t="s">
        <v>201</v>
      </c>
      <c r="H2966" s="17" t="s">
        <v>1304</v>
      </c>
      <c r="I2966" s="57"/>
      <c r="J2966" s="126"/>
      <c r="K2966" s="17">
        <v>18676853.436919998</v>
      </c>
      <c r="L2966" s="46"/>
      <c r="M2966" s="17">
        <v>4330721.5066599902</v>
      </c>
      <c r="N2966" s="17">
        <v>37811985.919840001</v>
      </c>
      <c r="O2966" s="17">
        <v>7712451.7271999996</v>
      </c>
      <c r="P2966" s="17">
        <v>2827122.0688599902</v>
      </c>
    </row>
    <row r="2967" spans="1:16" x14ac:dyDescent="0.25">
      <c r="A2967" s="47">
        <f xml:space="preserve"> ROW( data_scaledImpacts[[#This Row],[row_id]] ) - ROW( data_scaledImpacts[[#Headers],[row_id]] )</f>
        <v>2966</v>
      </c>
      <c r="B2967" s="54" t="str">
        <f xml:space="preserve"> _xlfn.TEXTJOIN( "", , data_scaledImpacts[[#This Row],[sector]:[impactType]] )</f>
        <v>VibrioGFDL-CM36N/ADirectMedCost</v>
      </c>
      <c r="C2967" s="42" t="s">
        <v>1303</v>
      </c>
      <c r="D2967" s="42" t="s">
        <v>5</v>
      </c>
      <c r="E2967" s="43">
        <v>6</v>
      </c>
      <c r="F2967" s="43"/>
      <c r="G2967" s="43" t="s">
        <v>201</v>
      </c>
      <c r="H2967" s="17" t="s">
        <v>1304</v>
      </c>
      <c r="I2967" s="57"/>
      <c r="J2967" s="126"/>
      <c r="K2967" s="17">
        <v>25350556.150810901</v>
      </c>
      <c r="L2967" s="46"/>
      <c r="M2967" s="17">
        <v>6726307.2540145405</v>
      </c>
      <c r="N2967" s="17">
        <v>49342023.356630899</v>
      </c>
      <c r="O2967" s="17">
        <v>10288209.478</v>
      </c>
      <c r="P2967" s="17">
        <v>3812337.1071327198</v>
      </c>
    </row>
    <row r="2968" spans="1:16" x14ac:dyDescent="0.25">
      <c r="A2968" s="47">
        <f xml:space="preserve"> ROW( data_scaledImpacts[[#This Row],[row_id]] ) - ROW( data_scaledImpacts[[#Headers],[row_id]] )</f>
        <v>2967</v>
      </c>
      <c r="B2968" s="54" t="str">
        <f xml:space="preserve"> _xlfn.TEXTJOIN( "", , data_scaledImpacts[[#This Row],[sector]:[impactType]] )</f>
        <v>VibrioGISS-E2-R1N/ADirectMedCost</v>
      </c>
      <c r="C2968" s="42" t="s">
        <v>1303</v>
      </c>
      <c r="D2968" s="42" t="s">
        <v>2</v>
      </c>
      <c r="E2968" s="43">
        <v>1</v>
      </c>
      <c r="F2968" s="43"/>
      <c r="G2968" s="43" t="s">
        <v>201</v>
      </c>
      <c r="H2968" s="17" t="s">
        <v>1304</v>
      </c>
      <c r="I2968" s="57"/>
      <c r="J2968" s="126"/>
      <c r="K2968" s="17">
        <v>2707531.9398072702</v>
      </c>
      <c r="L2968" s="46"/>
      <c r="M2968" s="17">
        <v>738210.95806727197</v>
      </c>
      <c r="N2968" s="17">
        <v>5959684.1270945398</v>
      </c>
      <c r="O2968" s="17">
        <v>1123201.4700545401</v>
      </c>
      <c r="P2968" s="17">
        <v>407853.83067454502</v>
      </c>
    </row>
    <row r="2969" spans="1:16" x14ac:dyDescent="0.25">
      <c r="A2969" s="47">
        <f xml:space="preserve"> ROW( data_scaledImpacts[[#This Row],[row_id]] ) - ROW( data_scaledImpacts[[#Headers],[row_id]] )</f>
        <v>2968</v>
      </c>
      <c r="B2969" s="54" t="str">
        <f xml:space="preserve"> _xlfn.TEXTJOIN( "", , data_scaledImpacts[[#This Row],[sector]:[impactType]] )</f>
        <v>VibrioGISS-E2-R2N/ADirectMedCost</v>
      </c>
      <c r="C2969" s="42" t="s">
        <v>1303</v>
      </c>
      <c r="D2969" s="42" t="s">
        <v>2</v>
      </c>
      <c r="E2969" s="43">
        <v>2</v>
      </c>
      <c r="F2969" s="43"/>
      <c r="G2969" s="43" t="s">
        <v>201</v>
      </c>
      <c r="H2969" s="17" t="s">
        <v>1304</v>
      </c>
      <c r="I2969" s="57"/>
      <c r="J2969" s="126"/>
      <c r="K2969" s="17">
        <v>4393513.8821472703</v>
      </c>
      <c r="L2969" s="46"/>
      <c r="M2969" s="17">
        <v>1492924.06015636</v>
      </c>
      <c r="N2969" s="17">
        <v>13017550.989230899</v>
      </c>
      <c r="O2969" s="17">
        <v>2329990.8557818099</v>
      </c>
      <c r="P2969" s="17">
        <v>968457.44728545402</v>
      </c>
    </row>
    <row r="2970" spans="1:16" x14ac:dyDescent="0.25">
      <c r="A2970" s="47">
        <f xml:space="preserve"> ROW( data_scaledImpacts[[#This Row],[row_id]] ) - ROW( data_scaledImpacts[[#Headers],[row_id]] )</f>
        <v>2969</v>
      </c>
      <c r="B2970" s="54" t="str">
        <f xml:space="preserve"> _xlfn.TEXTJOIN( "", , data_scaledImpacts[[#This Row],[sector]:[impactType]] )</f>
        <v>VibrioGISS-E2-R3N/ADirectMedCost</v>
      </c>
      <c r="C2970" s="42" t="s">
        <v>1303</v>
      </c>
      <c r="D2970" s="42" t="s">
        <v>2</v>
      </c>
      <c r="E2970" s="43">
        <v>3</v>
      </c>
      <c r="F2970" s="43"/>
      <c r="G2970" s="43" t="s">
        <v>201</v>
      </c>
      <c r="H2970" s="17" t="s">
        <v>1304</v>
      </c>
      <c r="I2970" s="57"/>
      <c r="J2970" s="126"/>
      <c r="K2970" s="17">
        <v>8959361.3876036294</v>
      </c>
      <c r="L2970" s="46"/>
      <c r="M2970" s="17">
        <v>1987315.20972363</v>
      </c>
      <c r="N2970" s="17">
        <v>20950313.0048672</v>
      </c>
      <c r="O2970" s="17">
        <v>3550449.8351636301</v>
      </c>
      <c r="P2970" s="17">
        <v>1456444.58416545</v>
      </c>
    </row>
    <row r="2971" spans="1:16" x14ac:dyDescent="0.25">
      <c r="A2971" s="47">
        <f xml:space="preserve"> ROW( data_scaledImpacts[[#This Row],[row_id]] ) - ROW( data_scaledImpacts[[#Headers],[row_id]] )</f>
        <v>2970</v>
      </c>
      <c r="B2971" s="54" t="str">
        <f xml:space="preserve"> _xlfn.TEXTJOIN( "", , data_scaledImpacts[[#This Row],[sector]:[impactType]] )</f>
        <v>VibrioHadGEM2-ES1N/ADirectMedCost</v>
      </c>
      <c r="C2971" s="42" t="s">
        <v>1303</v>
      </c>
      <c r="D2971" s="42" t="s">
        <v>3</v>
      </c>
      <c r="E2971" s="43">
        <v>1</v>
      </c>
      <c r="F2971" s="43"/>
      <c r="G2971" s="43" t="s">
        <v>201</v>
      </c>
      <c r="H2971" s="17" t="s">
        <v>1304</v>
      </c>
      <c r="I2971" s="57"/>
      <c r="J2971" s="126"/>
      <c r="K2971" s="17">
        <v>2455722.4508218099</v>
      </c>
      <c r="L2971" s="46"/>
      <c r="M2971" s="17">
        <v>974513.55887999898</v>
      </c>
      <c r="N2971" s="17">
        <v>8218839.6581290904</v>
      </c>
      <c r="O2971" s="17">
        <v>1281120.7436909</v>
      </c>
      <c r="P2971" s="17">
        <v>261971.754981818</v>
      </c>
    </row>
    <row r="2972" spans="1:16" x14ac:dyDescent="0.25">
      <c r="A2972" s="47">
        <f xml:space="preserve"> ROW( data_scaledImpacts[[#This Row],[row_id]] ) - ROW( data_scaledImpacts[[#Headers],[row_id]] )</f>
        <v>2971</v>
      </c>
      <c r="B2972" s="54" t="str">
        <f xml:space="preserve"> _xlfn.TEXTJOIN( "", , data_scaledImpacts[[#This Row],[sector]:[impactType]] )</f>
        <v>VibrioHadGEM2-ES2N/ADirectMedCost</v>
      </c>
      <c r="C2972" s="42" t="s">
        <v>1303</v>
      </c>
      <c r="D2972" s="42" t="s">
        <v>3</v>
      </c>
      <c r="E2972" s="43">
        <v>2</v>
      </c>
      <c r="F2972" s="43"/>
      <c r="G2972" s="43" t="s">
        <v>201</v>
      </c>
      <c r="H2972" s="17" t="s">
        <v>1304</v>
      </c>
      <c r="I2972" s="57"/>
      <c r="J2972" s="126"/>
      <c r="K2972" s="17">
        <v>5177122.6810563598</v>
      </c>
      <c r="L2972" s="46"/>
      <c r="M2972" s="17">
        <v>1582536.21159636</v>
      </c>
      <c r="N2972" s="17">
        <v>13078483.1710309</v>
      </c>
      <c r="O2972" s="17">
        <v>2714180.5032363599</v>
      </c>
      <c r="P2972" s="17">
        <v>742799.32469272695</v>
      </c>
    </row>
    <row r="2973" spans="1:16" x14ac:dyDescent="0.25">
      <c r="A2973" s="47">
        <f xml:space="preserve"> ROW( data_scaledImpacts[[#This Row],[row_id]] ) - ROW( data_scaledImpacts[[#Headers],[row_id]] )</f>
        <v>2972</v>
      </c>
      <c r="B2973" s="54" t="str">
        <f xml:space="preserve"> _xlfn.TEXTJOIN( "", , data_scaledImpacts[[#This Row],[sector]:[impactType]] )</f>
        <v>VibrioHadGEM2-ES3N/ADirectMedCost</v>
      </c>
      <c r="C2973" s="42" t="s">
        <v>1303</v>
      </c>
      <c r="D2973" s="42" t="s">
        <v>3</v>
      </c>
      <c r="E2973" s="43">
        <v>3</v>
      </c>
      <c r="F2973" s="43"/>
      <c r="G2973" s="43" t="s">
        <v>201</v>
      </c>
      <c r="H2973" s="17" t="s">
        <v>1304</v>
      </c>
      <c r="I2973" s="57"/>
      <c r="J2973" s="126"/>
      <c r="K2973" s="17">
        <v>8309837.2430109</v>
      </c>
      <c r="L2973" s="46"/>
      <c r="M2973" s="17">
        <v>2355699.4638872701</v>
      </c>
      <c r="N2973" s="17">
        <v>20490364.2471218</v>
      </c>
      <c r="O2973" s="17">
        <v>3643614.1683272701</v>
      </c>
      <c r="P2973" s="17">
        <v>1174477.8428181801</v>
      </c>
    </row>
    <row r="2974" spans="1:16" x14ac:dyDescent="0.25">
      <c r="A2974" s="47">
        <f xml:space="preserve"> ROW( data_scaledImpacts[[#This Row],[row_id]] ) - ROW( data_scaledImpacts[[#Headers],[row_id]] )</f>
        <v>2973</v>
      </c>
      <c r="B2974" s="54" t="str">
        <f xml:space="preserve"> _xlfn.TEXTJOIN( "", , data_scaledImpacts[[#This Row],[sector]:[impactType]] )</f>
        <v>VibrioHadGEM2-ES4N/ADirectMedCost</v>
      </c>
      <c r="C2974" s="42" t="s">
        <v>1303</v>
      </c>
      <c r="D2974" s="42" t="s">
        <v>3</v>
      </c>
      <c r="E2974" s="43">
        <v>4</v>
      </c>
      <c r="F2974" s="43"/>
      <c r="G2974" s="43" t="s">
        <v>201</v>
      </c>
      <c r="H2974" s="17" t="s">
        <v>1304</v>
      </c>
      <c r="I2974" s="57"/>
      <c r="J2974" s="126"/>
      <c r="K2974" s="17">
        <v>11910070.595578101</v>
      </c>
      <c r="L2974" s="46"/>
      <c r="M2974" s="17">
        <v>4065657.6998690902</v>
      </c>
      <c r="N2974" s="17">
        <v>26867076.0819945</v>
      </c>
      <c r="O2974" s="17">
        <v>4762874.52601818</v>
      </c>
      <c r="P2974" s="17">
        <v>2157105.5873199999</v>
      </c>
    </row>
    <row r="2975" spans="1:16" x14ac:dyDescent="0.25">
      <c r="A2975" s="47">
        <f xml:space="preserve"> ROW( data_scaledImpacts[[#This Row],[row_id]] ) - ROW( data_scaledImpacts[[#Headers],[row_id]] )</f>
        <v>2974</v>
      </c>
      <c r="B2975" s="54" t="str">
        <f xml:space="preserve"> _xlfn.TEXTJOIN( "", , data_scaledImpacts[[#This Row],[sector]:[impactType]] )</f>
        <v>VibrioHadGEM2-ES5N/ADirectMedCost</v>
      </c>
      <c r="C2975" s="42" t="s">
        <v>1303</v>
      </c>
      <c r="D2975" s="42" t="s">
        <v>3</v>
      </c>
      <c r="E2975" s="43">
        <v>5</v>
      </c>
      <c r="F2975" s="43"/>
      <c r="G2975" s="43" t="s">
        <v>201</v>
      </c>
      <c r="H2975" s="17" t="s">
        <v>1304</v>
      </c>
      <c r="I2975" s="57"/>
      <c r="J2975" s="126"/>
      <c r="K2975" s="17">
        <v>16164063.935179999</v>
      </c>
      <c r="L2975" s="46"/>
      <c r="M2975" s="17">
        <v>5758821.33783272</v>
      </c>
      <c r="N2975" s="17">
        <v>33288510.343867201</v>
      </c>
      <c r="O2975" s="17">
        <v>5728017.6468727197</v>
      </c>
      <c r="P2975" s="17">
        <v>2800263.85904181</v>
      </c>
    </row>
    <row r="2976" spans="1:16" x14ac:dyDescent="0.25">
      <c r="A2976" s="47">
        <f xml:space="preserve"> ROW( data_scaledImpacts[[#This Row],[row_id]] ) - ROW( data_scaledImpacts[[#Headers],[row_id]] )</f>
        <v>2975</v>
      </c>
      <c r="B2976" s="54" t="str">
        <f xml:space="preserve"> _xlfn.TEXTJOIN( "", , data_scaledImpacts[[#This Row],[sector]:[impactType]] )</f>
        <v>VibrioHadGEM2-ES6N/ADirectMedCost</v>
      </c>
      <c r="C2976" s="42" t="s">
        <v>1303</v>
      </c>
      <c r="D2976" s="42" t="s">
        <v>3</v>
      </c>
      <c r="E2976" s="43">
        <v>6</v>
      </c>
      <c r="F2976" s="43"/>
      <c r="G2976" s="43" t="s">
        <v>201</v>
      </c>
      <c r="H2976" s="17" t="s">
        <v>1304</v>
      </c>
      <c r="I2976" s="57"/>
      <c r="J2976" s="126"/>
      <c r="K2976" s="17">
        <v>22411449.653210901</v>
      </c>
      <c r="L2976" s="46"/>
      <c r="M2976" s="17">
        <v>7570473.6677963603</v>
      </c>
      <c r="N2976" s="17">
        <v>43674952.137685403</v>
      </c>
      <c r="O2976" s="17">
        <v>7499172.8592363596</v>
      </c>
      <c r="P2976" s="17">
        <v>3656674.2488054498</v>
      </c>
    </row>
    <row r="2977" spans="1:16" x14ac:dyDescent="0.25">
      <c r="A2977" s="47">
        <f xml:space="preserve"> ROW( data_scaledImpacts[[#This Row],[row_id]] ) - ROW( data_scaledImpacts[[#Headers],[row_id]] )</f>
        <v>2976</v>
      </c>
      <c r="B2977" s="54" t="str">
        <f xml:space="preserve"> _xlfn.TEXTJOIN( "", , data_scaledImpacts[[#This Row],[sector]:[impactType]] )</f>
        <v>VibrioMIROC51N/ADirectMedCost</v>
      </c>
      <c r="C2977" s="42" t="s">
        <v>1303</v>
      </c>
      <c r="D2977" s="42" t="s">
        <v>4</v>
      </c>
      <c r="E2977" s="43">
        <v>1</v>
      </c>
      <c r="F2977" s="43"/>
      <c r="G2977" s="43" t="s">
        <v>201</v>
      </c>
      <c r="H2977" s="17" t="s">
        <v>1304</v>
      </c>
      <c r="I2977" s="57"/>
      <c r="J2977" s="126"/>
      <c r="K2977" s="17">
        <v>1689154.2695509</v>
      </c>
      <c r="L2977" s="46"/>
      <c r="M2977" s="17">
        <v>626369.90556181804</v>
      </c>
      <c r="N2977" s="17">
        <v>4768203.3044945402</v>
      </c>
      <c r="O2977" s="17">
        <v>987345.62432727299</v>
      </c>
      <c r="P2977" s="17">
        <v>260455.37244727201</v>
      </c>
    </row>
    <row r="2978" spans="1:16" x14ac:dyDescent="0.25">
      <c r="A2978" s="47">
        <f xml:space="preserve"> ROW( data_scaledImpacts[[#This Row],[row_id]] ) - ROW( data_scaledImpacts[[#Headers],[row_id]] )</f>
        <v>2977</v>
      </c>
      <c r="B2978" s="54" t="str">
        <f xml:space="preserve"> _xlfn.TEXTJOIN( "", , data_scaledImpacts[[#This Row],[sector]:[impactType]] )</f>
        <v>VibrioMIROC52N/ADirectMedCost</v>
      </c>
      <c r="C2978" s="42" t="s">
        <v>1303</v>
      </c>
      <c r="D2978" s="42" t="s">
        <v>4</v>
      </c>
      <c r="E2978" s="43">
        <v>2</v>
      </c>
      <c r="F2978" s="43"/>
      <c r="G2978" s="43" t="s">
        <v>201</v>
      </c>
      <c r="H2978" s="17" t="s">
        <v>1304</v>
      </c>
      <c r="I2978" s="57"/>
      <c r="J2978" s="126"/>
      <c r="K2978" s="17">
        <v>4262539.4200163595</v>
      </c>
      <c r="L2978" s="46"/>
      <c r="M2978" s="17">
        <v>1012193.7447254499</v>
      </c>
      <c r="N2978" s="17">
        <v>10454158.993976301</v>
      </c>
      <c r="O2978" s="17">
        <v>2317368.3546181801</v>
      </c>
      <c r="P2978" s="17">
        <v>677744.59540363599</v>
      </c>
    </row>
    <row r="2979" spans="1:16" x14ac:dyDescent="0.25">
      <c r="A2979" s="47">
        <f xml:space="preserve"> ROW( data_scaledImpacts[[#This Row],[row_id]] ) - ROW( data_scaledImpacts[[#Headers],[row_id]] )</f>
        <v>2978</v>
      </c>
      <c r="B2979" s="54" t="str">
        <f xml:space="preserve"> _xlfn.TEXTJOIN( "", , data_scaledImpacts[[#This Row],[sector]:[impactType]] )</f>
        <v>VibrioMIROC53N/ADirectMedCost</v>
      </c>
      <c r="C2979" s="42" t="s">
        <v>1303</v>
      </c>
      <c r="D2979" s="42" t="s">
        <v>4</v>
      </c>
      <c r="E2979" s="43">
        <v>3</v>
      </c>
      <c r="F2979" s="43"/>
      <c r="G2979" s="43" t="s">
        <v>201</v>
      </c>
      <c r="H2979" s="17" t="s">
        <v>1304</v>
      </c>
      <c r="I2979" s="57"/>
      <c r="J2979" s="126"/>
      <c r="K2979" s="17">
        <v>7350937.2899054503</v>
      </c>
      <c r="L2979" s="46"/>
      <c r="M2979" s="17">
        <v>1684616.6778800001</v>
      </c>
      <c r="N2979" s="17">
        <v>15827627.425467201</v>
      </c>
      <c r="O2979" s="17">
        <v>3424188.8488727198</v>
      </c>
      <c r="P2979" s="17">
        <v>1082566.65339272</v>
      </c>
    </row>
    <row r="2980" spans="1:16" x14ac:dyDescent="0.25">
      <c r="A2980" s="47">
        <f xml:space="preserve"> ROW( data_scaledImpacts[[#This Row],[row_id]] ) - ROW( data_scaledImpacts[[#Headers],[row_id]] )</f>
        <v>2979</v>
      </c>
      <c r="B2980" s="54" t="str">
        <f xml:space="preserve"> _xlfn.TEXTJOIN( "", , data_scaledImpacts[[#This Row],[sector]:[impactType]] )</f>
        <v>VibrioMIROC54N/ADirectMedCost</v>
      </c>
      <c r="C2980" s="42" t="s">
        <v>1303</v>
      </c>
      <c r="D2980" s="42" t="s">
        <v>4</v>
      </c>
      <c r="E2980" s="43">
        <v>4</v>
      </c>
      <c r="F2980" s="43"/>
      <c r="G2980" s="43" t="s">
        <v>201</v>
      </c>
      <c r="H2980" s="17" t="s">
        <v>1304</v>
      </c>
      <c r="I2980" s="57"/>
      <c r="J2980" s="126"/>
      <c r="K2980" s="17">
        <v>11458715.0402763</v>
      </c>
      <c r="L2980" s="46"/>
      <c r="M2980" s="17">
        <v>2786121.2210690901</v>
      </c>
      <c r="N2980" s="17">
        <v>23091525.362048998</v>
      </c>
      <c r="O2980" s="17">
        <v>4610553.7163454499</v>
      </c>
      <c r="P2980" s="17">
        <v>1500700.4051636299</v>
      </c>
    </row>
    <row r="2981" spans="1:16" x14ac:dyDescent="0.25">
      <c r="A2981" s="47">
        <f xml:space="preserve"> ROW( data_scaledImpacts[[#This Row],[row_id]] ) - ROW( data_scaledImpacts[[#Headers],[row_id]] )</f>
        <v>2980</v>
      </c>
      <c r="B2981" s="54" t="str">
        <f xml:space="preserve"> _xlfn.TEXTJOIN( "", , data_scaledImpacts[[#This Row],[sector]:[impactType]] )</f>
        <v>VibrioMIROC55N/ADirectMedCost</v>
      </c>
      <c r="C2981" s="42" t="s">
        <v>1303</v>
      </c>
      <c r="D2981" s="42" t="s">
        <v>4</v>
      </c>
      <c r="E2981" s="43">
        <v>5</v>
      </c>
      <c r="F2981" s="43"/>
      <c r="G2981" s="43" t="s">
        <v>201</v>
      </c>
      <c r="H2981" s="17" t="s">
        <v>1304</v>
      </c>
      <c r="I2981" s="57"/>
      <c r="J2981" s="126"/>
      <c r="K2981" s="17">
        <v>13863599.4632363</v>
      </c>
      <c r="L2981" s="46"/>
      <c r="M2981" s="17">
        <v>3709831.4175781799</v>
      </c>
      <c r="N2981" s="17">
        <v>31135213.773958098</v>
      </c>
      <c r="O2981" s="17">
        <v>6394815.5435454501</v>
      </c>
      <c r="P2981" s="17">
        <v>2271984.63035454</v>
      </c>
    </row>
    <row r="2982" spans="1:16" x14ac:dyDescent="0.25">
      <c r="A2982" s="47">
        <f xml:space="preserve"> ROW( data_scaledImpacts[[#This Row],[row_id]] ) - ROW( data_scaledImpacts[[#Headers],[row_id]] )</f>
        <v>2981</v>
      </c>
      <c r="B2982" s="54" t="str">
        <f xml:space="preserve"> _xlfn.TEXTJOIN( "", , data_scaledImpacts[[#This Row],[sector]:[impactType]] )</f>
        <v>VibrioCanESM21N/ALostDays</v>
      </c>
      <c r="C2982" s="42" t="s">
        <v>1303</v>
      </c>
      <c r="D2982" s="42" t="s">
        <v>0</v>
      </c>
      <c r="E2982" s="43">
        <v>1</v>
      </c>
      <c r="F2982" s="43"/>
      <c r="G2982" s="43" t="s">
        <v>201</v>
      </c>
      <c r="H2982" s="17" t="s">
        <v>1305</v>
      </c>
      <c r="I2982" s="57"/>
      <c r="J2982" s="126"/>
      <c r="K2982" s="17">
        <v>9184.1328054545393</v>
      </c>
      <c r="L2982" s="46"/>
      <c r="M2982" s="17">
        <v>4155.8770009090904</v>
      </c>
      <c r="N2982" s="17">
        <v>12323.898356363599</v>
      </c>
      <c r="O2982" s="17">
        <v>1729.39750272727</v>
      </c>
      <c r="P2982" s="17">
        <v>1443.01716545454</v>
      </c>
    </row>
    <row r="2983" spans="1:16" x14ac:dyDescent="0.25">
      <c r="A2983" s="47">
        <f xml:space="preserve"> ROW( data_scaledImpacts[[#This Row],[row_id]] ) - ROW( data_scaledImpacts[[#Headers],[row_id]] )</f>
        <v>2982</v>
      </c>
      <c r="B2983" s="54" t="str">
        <f xml:space="preserve"> _xlfn.TEXTJOIN( "", , data_scaledImpacts[[#This Row],[sector]:[impactType]] )</f>
        <v>VibrioCanESM22N/ALostDays</v>
      </c>
      <c r="C2983" s="42" t="s">
        <v>1303</v>
      </c>
      <c r="D2983" s="42" t="s">
        <v>0</v>
      </c>
      <c r="E2983" s="43">
        <v>2</v>
      </c>
      <c r="F2983" s="43"/>
      <c r="G2983" s="43" t="s">
        <v>201</v>
      </c>
      <c r="H2983" s="17" t="s">
        <v>1305</v>
      </c>
      <c r="I2983" s="57"/>
      <c r="J2983" s="126"/>
      <c r="K2983" s="17">
        <v>17247.679496363598</v>
      </c>
      <c r="L2983" s="46"/>
      <c r="M2983" s="17">
        <v>8985.1319545454498</v>
      </c>
      <c r="N2983" s="17">
        <v>26734.969534545398</v>
      </c>
      <c r="O2983" s="17">
        <v>3698.31763181818</v>
      </c>
      <c r="P2983" s="17">
        <v>4319.2849390909096</v>
      </c>
    </row>
    <row r="2984" spans="1:16" x14ac:dyDescent="0.25">
      <c r="A2984" s="47">
        <f xml:space="preserve"> ROW( data_scaledImpacts[[#This Row],[row_id]] ) - ROW( data_scaledImpacts[[#Headers],[row_id]] )</f>
        <v>2983</v>
      </c>
      <c r="B2984" s="54" t="str">
        <f xml:space="preserve"> _xlfn.TEXTJOIN( "", , data_scaledImpacts[[#This Row],[sector]:[impactType]] )</f>
        <v>VibrioCanESM23N/ALostDays</v>
      </c>
      <c r="C2984" s="42" t="s">
        <v>1303</v>
      </c>
      <c r="D2984" s="42" t="s">
        <v>0</v>
      </c>
      <c r="E2984" s="43">
        <v>3</v>
      </c>
      <c r="F2984" s="43"/>
      <c r="G2984" s="43" t="s">
        <v>201</v>
      </c>
      <c r="H2984" s="17" t="s">
        <v>1305</v>
      </c>
      <c r="I2984" s="57"/>
      <c r="J2984" s="126"/>
      <c r="K2984" s="17">
        <v>25901.495681818102</v>
      </c>
      <c r="L2984" s="46"/>
      <c r="M2984" s="17">
        <v>15605.051380000001</v>
      </c>
      <c r="N2984" s="17">
        <v>39398.054119090899</v>
      </c>
      <c r="O2984" s="17">
        <v>5810.7820490908998</v>
      </c>
      <c r="P2984" s="17">
        <v>6637.6545999999998</v>
      </c>
    </row>
    <row r="2985" spans="1:16" x14ac:dyDescent="0.25">
      <c r="A2985" s="47">
        <f xml:space="preserve"> ROW( data_scaledImpacts[[#This Row],[row_id]] ) - ROW( data_scaledImpacts[[#Headers],[row_id]] )</f>
        <v>2984</v>
      </c>
      <c r="B2985" s="54" t="str">
        <f xml:space="preserve"> _xlfn.TEXTJOIN( "", , data_scaledImpacts[[#This Row],[sector]:[impactType]] )</f>
        <v>VibrioCanESM24N/ALostDays</v>
      </c>
      <c r="C2985" s="42" t="s">
        <v>1303</v>
      </c>
      <c r="D2985" s="42" t="s">
        <v>0</v>
      </c>
      <c r="E2985" s="43">
        <v>4</v>
      </c>
      <c r="F2985" s="43"/>
      <c r="G2985" s="43" t="s">
        <v>201</v>
      </c>
      <c r="H2985" s="17" t="s">
        <v>1305</v>
      </c>
      <c r="I2985" s="57"/>
      <c r="J2985" s="126"/>
      <c r="K2985" s="17">
        <v>38633.105962727197</v>
      </c>
      <c r="L2985" s="46"/>
      <c r="M2985" s="17">
        <v>23011.284577272701</v>
      </c>
      <c r="N2985" s="17">
        <v>55104.545025454499</v>
      </c>
      <c r="O2985" s="17">
        <v>8450.4185309090899</v>
      </c>
      <c r="P2985" s="17">
        <v>10447.0211790909</v>
      </c>
    </row>
    <row r="2986" spans="1:16" x14ac:dyDescent="0.25">
      <c r="A2986" s="47">
        <f xml:space="preserve"> ROW( data_scaledImpacts[[#This Row],[row_id]] ) - ROW( data_scaledImpacts[[#Headers],[row_id]] )</f>
        <v>2985</v>
      </c>
      <c r="B2986" s="54" t="str">
        <f xml:space="preserve"> _xlfn.TEXTJOIN( "", , data_scaledImpacts[[#This Row],[sector]:[impactType]] )</f>
        <v>VibrioCanESM25N/ALostDays</v>
      </c>
      <c r="C2986" s="42" t="s">
        <v>1303</v>
      </c>
      <c r="D2986" s="42" t="s">
        <v>0</v>
      </c>
      <c r="E2986" s="43">
        <v>5</v>
      </c>
      <c r="F2986" s="43"/>
      <c r="G2986" s="43" t="s">
        <v>201</v>
      </c>
      <c r="H2986" s="17" t="s">
        <v>1305</v>
      </c>
      <c r="I2986" s="57"/>
      <c r="J2986" s="126"/>
      <c r="K2986" s="17">
        <v>50898.4804245454</v>
      </c>
      <c r="L2986" s="46"/>
      <c r="M2986" s="17">
        <v>30505.4281972727</v>
      </c>
      <c r="N2986" s="17">
        <v>69709.079511818098</v>
      </c>
      <c r="O2986" s="17">
        <v>10031.033658181799</v>
      </c>
      <c r="P2986" s="17">
        <v>13934.4816963636</v>
      </c>
    </row>
    <row r="2987" spans="1:16" x14ac:dyDescent="0.25">
      <c r="A2987" s="47">
        <f xml:space="preserve"> ROW( data_scaledImpacts[[#This Row],[row_id]] ) - ROW( data_scaledImpacts[[#Headers],[row_id]] )</f>
        <v>2986</v>
      </c>
      <c r="B2987" s="54" t="str">
        <f xml:space="preserve"> _xlfn.TEXTJOIN( "", , data_scaledImpacts[[#This Row],[sector]:[impactType]] )</f>
        <v>VibrioCanESM26N/ALostDays</v>
      </c>
      <c r="C2987" s="42" t="s">
        <v>1303</v>
      </c>
      <c r="D2987" s="42" t="s">
        <v>0</v>
      </c>
      <c r="E2987" s="43">
        <v>6</v>
      </c>
      <c r="F2987" s="43"/>
      <c r="G2987" s="43" t="s">
        <v>201</v>
      </c>
      <c r="H2987" s="17" t="s">
        <v>1305</v>
      </c>
      <c r="I2987" s="57"/>
      <c r="J2987" s="126"/>
      <c r="K2987" s="17">
        <v>67074.879950000002</v>
      </c>
      <c r="L2987" s="46"/>
      <c r="M2987" s="17">
        <v>39351.671488181797</v>
      </c>
      <c r="N2987" s="17">
        <v>92019.1041754545</v>
      </c>
      <c r="O2987" s="17">
        <v>13637.190549090899</v>
      </c>
      <c r="P2987" s="17">
        <v>19025.1163745454</v>
      </c>
    </row>
    <row r="2988" spans="1:16" x14ac:dyDescent="0.25">
      <c r="A2988" s="47">
        <f xml:space="preserve"> ROW( data_scaledImpacts[[#This Row],[row_id]] ) - ROW( data_scaledImpacts[[#Headers],[row_id]] )</f>
        <v>2987</v>
      </c>
      <c r="B2988" s="54" t="str">
        <f xml:space="preserve"> _xlfn.TEXTJOIN( "", , data_scaledImpacts[[#This Row],[sector]:[impactType]] )</f>
        <v>VibrioCCSM41N/ALostDays</v>
      </c>
      <c r="C2988" s="42" t="s">
        <v>1303</v>
      </c>
      <c r="D2988" s="42" t="s">
        <v>1</v>
      </c>
      <c r="E2988" s="43">
        <v>1</v>
      </c>
      <c r="F2988" s="43"/>
      <c r="G2988" s="43" t="s">
        <v>201</v>
      </c>
      <c r="H2988" s="17" t="s">
        <v>1305</v>
      </c>
      <c r="I2988" s="57"/>
      <c r="J2988" s="126"/>
      <c r="K2988" s="17">
        <v>5611.9065399999899</v>
      </c>
      <c r="L2988" s="46"/>
      <c r="M2988" s="17">
        <v>2776.6732827272699</v>
      </c>
      <c r="N2988" s="17">
        <v>9418.0587099999902</v>
      </c>
      <c r="O2988" s="17">
        <v>1739.13295727272</v>
      </c>
      <c r="P2988" s="17">
        <v>1390.7760409090899</v>
      </c>
    </row>
    <row r="2989" spans="1:16" x14ac:dyDescent="0.25">
      <c r="A2989" s="47">
        <f xml:space="preserve"> ROW( data_scaledImpacts[[#This Row],[row_id]] ) - ROW( data_scaledImpacts[[#Headers],[row_id]] )</f>
        <v>2988</v>
      </c>
      <c r="B2989" s="54" t="str">
        <f xml:space="preserve"> _xlfn.TEXTJOIN( "", , data_scaledImpacts[[#This Row],[sector]:[impactType]] )</f>
        <v>VibrioCCSM42N/ALostDays</v>
      </c>
      <c r="C2989" s="42" t="s">
        <v>1303</v>
      </c>
      <c r="D2989" s="42" t="s">
        <v>1</v>
      </c>
      <c r="E2989" s="43">
        <v>2</v>
      </c>
      <c r="F2989" s="43"/>
      <c r="G2989" s="43" t="s">
        <v>201</v>
      </c>
      <c r="H2989" s="17" t="s">
        <v>1305</v>
      </c>
      <c r="I2989" s="57"/>
      <c r="J2989" s="126"/>
      <c r="K2989" s="17">
        <v>12003.6478345454</v>
      </c>
      <c r="L2989" s="46"/>
      <c r="M2989" s="17">
        <v>6351.43350363636</v>
      </c>
      <c r="N2989" s="17">
        <v>20381.076505454501</v>
      </c>
      <c r="O2989" s="17">
        <v>3113.7963809090902</v>
      </c>
      <c r="P2989" s="17">
        <v>3221.14393727272</v>
      </c>
    </row>
    <row r="2990" spans="1:16" x14ac:dyDescent="0.25">
      <c r="A2990" s="47">
        <f xml:space="preserve"> ROW( data_scaledImpacts[[#This Row],[row_id]] ) - ROW( data_scaledImpacts[[#Headers],[row_id]] )</f>
        <v>2989</v>
      </c>
      <c r="B2990" s="54" t="str">
        <f xml:space="preserve"> _xlfn.TEXTJOIN( "", , data_scaledImpacts[[#This Row],[sector]:[impactType]] )</f>
        <v>VibrioCCSM43N/ALostDays</v>
      </c>
      <c r="C2990" s="42" t="s">
        <v>1303</v>
      </c>
      <c r="D2990" s="42" t="s">
        <v>1</v>
      </c>
      <c r="E2990" s="43">
        <v>3</v>
      </c>
      <c r="F2990" s="43"/>
      <c r="G2990" s="43" t="s">
        <v>201</v>
      </c>
      <c r="H2990" s="17" t="s">
        <v>1305</v>
      </c>
      <c r="I2990" s="57"/>
      <c r="J2990" s="126"/>
      <c r="K2990" s="17">
        <v>21607.119280908999</v>
      </c>
      <c r="L2990" s="46"/>
      <c r="M2990" s="17">
        <v>11590.504499999999</v>
      </c>
      <c r="N2990" s="17">
        <v>36924.839840909</v>
      </c>
      <c r="O2990" s="17">
        <v>5724.7890736363597</v>
      </c>
      <c r="P2990" s="17">
        <v>4793.7331963636298</v>
      </c>
    </row>
    <row r="2991" spans="1:16" x14ac:dyDescent="0.25">
      <c r="A2991" s="47">
        <f xml:space="preserve"> ROW( data_scaledImpacts[[#This Row],[row_id]] ) - ROW( data_scaledImpacts[[#Headers],[row_id]] )</f>
        <v>2990</v>
      </c>
      <c r="B2991" s="54" t="str">
        <f xml:space="preserve"> _xlfn.TEXTJOIN( "", , data_scaledImpacts[[#This Row],[sector]:[impactType]] )</f>
        <v>VibrioCCSM44N/ALostDays</v>
      </c>
      <c r="C2991" s="42" t="s">
        <v>1303</v>
      </c>
      <c r="D2991" s="42" t="s">
        <v>1</v>
      </c>
      <c r="E2991" s="43">
        <v>4</v>
      </c>
      <c r="F2991" s="43"/>
      <c r="G2991" s="43" t="s">
        <v>201</v>
      </c>
      <c r="H2991" s="17" t="s">
        <v>1305</v>
      </c>
      <c r="I2991" s="57"/>
      <c r="J2991" s="126"/>
      <c r="K2991" s="17">
        <v>29481.141068181802</v>
      </c>
      <c r="L2991" s="46"/>
      <c r="M2991" s="17">
        <v>17952.939868181798</v>
      </c>
      <c r="N2991" s="17">
        <v>49561.874102727197</v>
      </c>
      <c r="O2991" s="17">
        <v>7428.9913854545403</v>
      </c>
      <c r="P2991" s="17">
        <v>8110.5603136363598</v>
      </c>
    </row>
    <row r="2992" spans="1:16" x14ac:dyDescent="0.25">
      <c r="A2992" s="47">
        <f xml:space="preserve"> ROW( data_scaledImpacts[[#This Row],[row_id]] ) - ROW( data_scaledImpacts[[#Headers],[row_id]] )</f>
        <v>2991</v>
      </c>
      <c r="B2992" s="54" t="str">
        <f xml:space="preserve"> _xlfn.TEXTJOIN( "", , data_scaledImpacts[[#This Row],[sector]:[impactType]] )</f>
        <v>VibrioCCSM45N/ALostDays</v>
      </c>
      <c r="C2992" s="42" t="s">
        <v>1303</v>
      </c>
      <c r="D2992" s="42" t="s">
        <v>1</v>
      </c>
      <c r="E2992" s="43">
        <v>5</v>
      </c>
      <c r="F2992" s="43"/>
      <c r="G2992" s="43" t="s">
        <v>201</v>
      </c>
      <c r="H2992" s="17" t="s">
        <v>1305</v>
      </c>
      <c r="I2992" s="57"/>
      <c r="J2992" s="126"/>
      <c r="K2992" s="17">
        <v>39505.690970000003</v>
      </c>
      <c r="L2992" s="46"/>
      <c r="M2992" s="17">
        <v>21220.472785454502</v>
      </c>
      <c r="N2992" s="17">
        <v>69870.869557272701</v>
      </c>
      <c r="O2992" s="17">
        <v>11149.703967272701</v>
      </c>
      <c r="P2992" s="17">
        <v>8717.3224190909095</v>
      </c>
    </row>
    <row r="2993" spans="1:16" x14ac:dyDescent="0.25">
      <c r="A2993" s="47">
        <f xml:space="preserve"> ROW( data_scaledImpacts[[#This Row],[row_id]] ) - ROW( data_scaledImpacts[[#Headers],[row_id]] )</f>
        <v>2992</v>
      </c>
      <c r="B2993" s="54" t="str">
        <f xml:space="preserve"> _xlfn.TEXTJOIN( "", , data_scaledImpacts[[#This Row],[sector]:[impactType]] )</f>
        <v>VibrioGFDL-CM31N/ALostDays</v>
      </c>
      <c r="C2993" s="42" t="s">
        <v>1303</v>
      </c>
      <c r="D2993" s="42" t="s">
        <v>5</v>
      </c>
      <c r="E2993" s="43">
        <v>1</v>
      </c>
      <c r="F2993" s="43"/>
      <c r="G2993" s="43" t="s">
        <v>201</v>
      </c>
      <c r="H2993" s="17" t="s">
        <v>1305</v>
      </c>
      <c r="I2993" s="57"/>
      <c r="J2993" s="126"/>
      <c r="K2993" s="17">
        <v>10017.368257272699</v>
      </c>
      <c r="L2993" s="46"/>
      <c r="M2993" s="17">
        <v>2866.18377545454</v>
      </c>
      <c r="N2993" s="17">
        <v>15549.0218763636</v>
      </c>
      <c r="O2993" s="17">
        <v>2603.92099181818</v>
      </c>
      <c r="P2993" s="17">
        <v>1427.21537363636</v>
      </c>
    </row>
    <row r="2994" spans="1:16" x14ac:dyDescent="0.25">
      <c r="A2994" s="47">
        <f xml:space="preserve"> ROW( data_scaledImpacts[[#This Row],[row_id]] ) - ROW( data_scaledImpacts[[#Headers],[row_id]] )</f>
        <v>2993</v>
      </c>
      <c r="B2994" s="54" t="str">
        <f xml:space="preserve"> _xlfn.TEXTJOIN( "", , data_scaledImpacts[[#This Row],[sector]:[impactType]] )</f>
        <v>VibrioGFDL-CM32N/ALostDays</v>
      </c>
      <c r="C2994" s="42" t="s">
        <v>1303</v>
      </c>
      <c r="D2994" s="42" t="s">
        <v>5</v>
      </c>
      <c r="E2994" s="43">
        <v>2</v>
      </c>
      <c r="F2994" s="43"/>
      <c r="G2994" s="43" t="s">
        <v>201</v>
      </c>
      <c r="H2994" s="17" t="s">
        <v>1305</v>
      </c>
      <c r="I2994" s="57"/>
      <c r="J2994" s="126"/>
      <c r="K2994" s="17">
        <v>17436.565060909001</v>
      </c>
      <c r="L2994" s="46"/>
      <c r="M2994" s="17">
        <v>6558.6652599999998</v>
      </c>
      <c r="N2994" s="17">
        <v>30281.852855454501</v>
      </c>
      <c r="O2994" s="17">
        <v>4965.0417318181799</v>
      </c>
      <c r="P2994" s="17">
        <v>3141.4885063636302</v>
      </c>
    </row>
    <row r="2995" spans="1:16" x14ac:dyDescent="0.25">
      <c r="A2995" s="47">
        <f xml:space="preserve"> ROW( data_scaledImpacts[[#This Row],[row_id]] ) - ROW( data_scaledImpacts[[#Headers],[row_id]] )</f>
        <v>2994</v>
      </c>
      <c r="B2995" s="54" t="str">
        <f xml:space="preserve"> _xlfn.TEXTJOIN( "", , data_scaledImpacts[[#This Row],[sector]:[impactType]] )</f>
        <v>VibrioGFDL-CM33N/ALostDays</v>
      </c>
      <c r="C2995" s="42" t="s">
        <v>1303</v>
      </c>
      <c r="D2995" s="42" t="s">
        <v>5</v>
      </c>
      <c r="E2995" s="43">
        <v>3</v>
      </c>
      <c r="F2995" s="43"/>
      <c r="G2995" s="43" t="s">
        <v>201</v>
      </c>
      <c r="H2995" s="17" t="s">
        <v>1305</v>
      </c>
      <c r="I2995" s="57"/>
      <c r="J2995" s="126"/>
      <c r="K2995" s="17">
        <v>30538.318209090899</v>
      </c>
      <c r="L2995" s="46"/>
      <c r="M2995" s="17">
        <v>12724.376750908999</v>
      </c>
      <c r="N2995" s="17">
        <v>46092.412896363603</v>
      </c>
      <c r="O2995" s="17">
        <v>7706.0520045454496</v>
      </c>
      <c r="P2995" s="17">
        <v>6057.1573336363599</v>
      </c>
    </row>
    <row r="2996" spans="1:16" x14ac:dyDescent="0.25">
      <c r="A2996" s="47">
        <f xml:space="preserve"> ROW( data_scaledImpacts[[#This Row],[row_id]] ) - ROW( data_scaledImpacts[[#Headers],[row_id]] )</f>
        <v>2995</v>
      </c>
      <c r="B2996" s="54" t="str">
        <f xml:space="preserve"> _xlfn.TEXTJOIN( "", , data_scaledImpacts[[#This Row],[sector]:[impactType]] )</f>
        <v>VibrioGFDL-CM34N/ALostDays</v>
      </c>
      <c r="C2996" s="42" t="s">
        <v>1303</v>
      </c>
      <c r="D2996" s="42" t="s">
        <v>5</v>
      </c>
      <c r="E2996" s="43">
        <v>4</v>
      </c>
      <c r="F2996" s="43"/>
      <c r="G2996" s="43" t="s">
        <v>201</v>
      </c>
      <c r="H2996" s="17" t="s">
        <v>1305</v>
      </c>
      <c r="I2996" s="57"/>
      <c r="J2996" s="126"/>
      <c r="K2996" s="17">
        <v>42829.158153636301</v>
      </c>
      <c r="L2996" s="46"/>
      <c r="M2996" s="17">
        <v>16886.170726363602</v>
      </c>
      <c r="N2996" s="17">
        <v>65952.704399090901</v>
      </c>
      <c r="O2996" s="17">
        <v>10605.431421818101</v>
      </c>
      <c r="P2996" s="17">
        <v>8730.6175454545391</v>
      </c>
    </row>
    <row r="2997" spans="1:16" x14ac:dyDescent="0.25">
      <c r="A2997" s="47">
        <f xml:space="preserve"> ROW( data_scaledImpacts[[#This Row],[row_id]] ) - ROW( data_scaledImpacts[[#Headers],[row_id]] )</f>
        <v>2996</v>
      </c>
      <c r="B2997" s="54" t="str">
        <f xml:space="preserve"> _xlfn.TEXTJOIN( "", , data_scaledImpacts[[#This Row],[sector]:[impactType]] )</f>
        <v>VibrioGFDL-CM35N/ALostDays</v>
      </c>
      <c r="C2997" s="42" t="s">
        <v>1303</v>
      </c>
      <c r="D2997" s="42" t="s">
        <v>5</v>
      </c>
      <c r="E2997" s="43">
        <v>5</v>
      </c>
      <c r="F2997" s="43"/>
      <c r="G2997" s="43" t="s">
        <v>201</v>
      </c>
      <c r="H2997" s="17" t="s">
        <v>1305</v>
      </c>
      <c r="I2997" s="57"/>
      <c r="J2997" s="126"/>
      <c r="K2997" s="17">
        <v>51431.162024999998</v>
      </c>
      <c r="L2997" s="46"/>
      <c r="M2997" s="17">
        <v>19018.752734999998</v>
      </c>
      <c r="N2997" s="17">
        <v>80776.615464999995</v>
      </c>
      <c r="O2997" s="17">
        <v>12622.772489999999</v>
      </c>
      <c r="P2997" s="17">
        <v>10810.567195</v>
      </c>
    </row>
    <row r="2998" spans="1:16" x14ac:dyDescent="0.25">
      <c r="A2998" s="47">
        <f xml:space="preserve"> ROW( data_scaledImpacts[[#This Row],[row_id]] ) - ROW( data_scaledImpacts[[#Headers],[row_id]] )</f>
        <v>2997</v>
      </c>
      <c r="B2998" s="54" t="str">
        <f xml:space="preserve"> _xlfn.TEXTJOIN( "", , data_scaledImpacts[[#This Row],[sector]:[impactType]] )</f>
        <v>VibrioGFDL-CM36N/ALostDays</v>
      </c>
      <c r="C2998" s="42" t="s">
        <v>1303</v>
      </c>
      <c r="D2998" s="42" t="s">
        <v>5</v>
      </c>
      <c r="E2998" s="43">
        <v>6</v>
      </c>
      <c r="F2998" s="43"/>
      <c r="G2998" s="43" t="s">
        <v>201</v>
      </c>
      <c r="H2998" s="17" t="s">
        <v>1305</v>
      </c>
      <c r="I2998" s="57"/>
      <c r="J2998" s="126"/>
      <c r="K2998" s="17">
        <v>69511.320793636303</v>
      </c>
      <c r="L2998" s="46"/>
      <c r="M2998" s="17">
        <v>26960.451923636301</v>
      </c>
      <c r="N2998" s="17">
        <v>105070.28140818101</v>
      </c>
      <c r="O2998" s="17">
        <v>17021.480167272701</v>
      </c>
      <c r="P2998" s="17">
        <v>14440.525021818101</v>
      </c>
    </row>
    <row r="2999" spans="1:16" x14ac:dyDescent="0.25">
      <c r="A2999" s="47">
        <f xml:space="preserve"> ROW( data_scaledImpacts[[#This Row],[row_id]] ) - ROW( data_scaledImpacts[[#Headers],[row_id]] )</f>
        <v>2998</v>
      </c>
      <c r="B2999" s="54" t="str">
        <f xml:space="preserve"> _xlfn.TEXTJOIN( "", , data_scaledImpacts[[#This Row],[sector]:[impactType]] )</f>
        <v>VibrioGISS-E2-R1N/ALostDays</v>
      </c>
      <c r="C2999" s="42" t="s">
        <v>1303</v>
      </c>
      <c r="D2999" s="42" t="s">
        <v>2</v>
      </c>
      <c r="E2999" s="43">
        <v>1</v>
      </c>
      <c r="F2999" s="43"/>
      <c r="G2999" s="43" t="s">
        <v>201</v>
      </c>
      <c r="H2999" s="17" t="s">
        <v>1305</v>
      </c>
      <c r="I2999" s="57"/>
      <c r="J2999" s="126"/>
      <c r="K2999" s="17">
        <v>7497.1426172727197</v>
      </c>
      <c r="L2999" s="46"/>
      <c r="M2999" s="17">
        <v>3561.3157654545398</v>
      </c>
      <c r="N2999" s="17">
        <v>12510.0475818181</v>
      </c>
      <c r="O2999" s="17">
        <v>1801.85204999999</v>
      </c>
      <c r="P2999" s="17">
        <v>1570.6193609090899</v>
      </c>
    </row>
    <row r="3000" spans="1:16" x14ac:dyDescent="0.25">
      <c r="A3000" s="47">
        <f xml:space="preserve"> ROW( data_scaledImpacts[[#This Row],[row_id]] ) - ROW( data_scaledImpacts[[#Headers],[row_id]] )</f>
        <v>2999</v>
      </c>
      <c r="B3000" s="54" t="str">
        <f xml:space="preserve"> _xlfn.TEXTJOIN( "", , data_scaledImpacts[[#This Row],[sector]:[impactType]] )</f>
        <v>VibrioGISS-E2-R2N/ALostDays</v>
      </c>
      <c r="C3000" s="42" t="s">
        <v>1303</v>
      </c>
      <c r="D3000" s="42" t="s">
        <v>2</v>
      </c>
      <c r="E3000" s="43">
        <v>2</v>
      </c>
      <c r="F3000" s="43"/>
      <c r="G3000" s="43" t="s">
        <v>201</v>
      </c>
      <c r="H3000" s="17" t="s">
        <v>1305</v>
      </c>
      <c r="I3000" s="57"/>
      <c r="J3000" s="126"/>
      <c r="K3000" s="17">
        <v>12281.8510272727</v>
      </c>
      <c r="L3000" s="46"/>
      <c r="M3000" s="17">
        <v>6877.7818672727199</v>
      </c>
      <c r="N3000" s="17">
        <v>27458.915659090901</v>
      </c>
      <c r="O3000" s="17">
        <v>3753.7793463636299</v>
      </c>
      <c r="P3000" s="17">
        <v>3731.3245754545401</v>
      </c>
    </row>
    <row r="3001" spans="1:16" x14ac:dyDescent="0.25">
      <c r="A3001" s="47">
        <f xml:space="preserve"> ROW( data_scaledImpacts[[#This Row],[row_id]] ) - ROW( data_scaledImpacts[[#Headers],[row_id]] )</f>
        <v>3000</v>
      </c>
      <c r="B3001" s="54" t="str">
        <f xml:space="preserve"> _xlfn.TEXTJOIN( "", , data_scaledImpacts[[#This Row],[sector]:[impactType]] )</f>
        <v>VibrioGISS-E2-R3N/ALostDays</v>
      </c>
      <c r="C3001" s="42" t="s">
        <v>1303</v>
      </c>
      <c r="D3001" s="42" t="s">
        <v>2</v>
      </c>
      <c r="E3001" s="43">
        <v>3</v>
      </c>
      <c r="F3001" s="43"/>
      <c r="G3001" s="43" t="s">
        <v>201</v>
      </c>
      <c r="H3001" s="17" t="s">
        <v>1305</v>
      </c>
      <c r="I3001" s="57"/>
      <c r="J3001" s="126"/>
      <c r="K3001" s="17">
        <v>24243.994408181799</v>
      </c>
      <c r="L3001" s="46"/>
      <c r="M3001" s="17">
        <v>9223.1872800000001</v>
      </c>
      <c r="N3001" s="17">
        <v>44378.807059999999</v>
      </c>
      <c r="O3001" s="17">
        <v>5749.5071572727202</v>
      </c>
      <c r="P3001" s="17">
        <v>5653.01764181818</v>
      </c>
    </row>
    <row r="3002" spans="1:16" x14ac:dyDescent="0.25">
      <c r="A3002" s="47">
        <f xml:space="preserve"> ROW( data_scaledImpacts[[#This Row],[row_id]] ) - ROW( data_scaledImpacts[[#Headers],[row_id]] )</f>
        <v>3001</v>
      </c>
      <c r="B3002" s="54" t="str">
        <f xml:space="preserve"> _xlfn.TEXTJOIN( "", , data_scaledImpacts[[#This Row],[sector]:[impactType]] )</f>
        <v>VibrioHadGEM2-ES1N/ALostDays</v>
      </c>
      <c r="C3002" s="42" t="s">
        <v>1303</v>
      </c>
      <c r="D3002" s="42" t="s">
        <v>3</v>
      </c>
      <c r="E3002" s="43">
        <v>1</v>
      </c>
      <c r="F3002" s="43"/>
      <c r="G3002" s="43" t="s">
        <v>201</v>
      </c>
      <c r="H3002" s="17" t="s">
        <v>1305</v>
      </c>
      <c r="I3002" s="57"/>
      <c r="J3002" s="126"/>
      <c r="K3002" s="17">
        <v>6305.4631645454501</v>
      </c>
      <c r="L3002" s="46"/>
      <c r="M3002" s="17">
        <v>4789.3786263636302</v>
      </c>
      <c r="N3002" s="17">
        <v>17205.220603636299</v>
      </c>
      <c r="O3002" s="17">
        <v>2097.1534854545398</v>
      </c>
      <c r="P3002" s="17">
        <v>1010.69251181818</v>
      </c>
    </row>
    <row r="3003" spans="1:16" x14ac:dyDescent="0.25">
      <c r="A3003" s="47">
        <f xml:space="preserve"> ROW( data_scaledImpacts[[#This Row],[row_id]] ) - ROW( data_scaledImpacts[[#Headers],[row_id]] )</f>
        <v>3002</v>
      </c>
      <c r="B3003" s="54" t="str">
        <f xml:space="preserve"> _xlfn.TEXTJOIN( "", , data_scaledImpacts[[#This Row],[sector]:[impactType]] )</f>
        <v>VibrioHadGEM2-ES2N/ALostDays</v>
      </c>
      <c r="C3003" s="42" t="s">
        <v>1303</v>
      </c>
      <c r="D3003" s="42" t="s">
        <v>3</v>
      </c>
      <c r="E3003" s="43">
        <v>2</v>
      </c>
      <c r="F3003" s="43"/>
      <c r="G3003" s="43" t="s">
        <v>201</v>
      </c>
      <c r="H3003" s="17" t="s">
        <v>1305</v>
      </c>
      <c r="I3003" s="57"/>
      <c r="J3003" s="126"/>
      <c r="K3003" s="17">
        <v>13395.395771818099</v>
      </c>
      <c r="L3003" s="46"/>
      <c r="M3003" s="17">
        <v>7738.8067836363598</v>
      </c>
      <c r="N3003" s="17">
        <v>27413.239456363601</v>
      </c>
      <c r="O3003" s="17">
        <v>4354.4067154545401</v>
      </c>
      <c r="P3003" s="17">
        <v>2902.6130390909002</v>
      </c>
    </row>
    <row r="3004" spans="1:16" x14ac:dyDescent="0.25">
      <c r="A3004" s="47">
        <f xml:space="preserve"> ROW( data_scaledImpacts[[#This Row],[row_id]] ) - ROW( data_scaledImpacts[[#Headers],[row_id]] )</f>
        <v>3003</v>
      </c>
      <c r="B3004" s="54" t="str">
        <f xml:space="preserve"> _xlfn.TEXTJOIN( "", , data_scaledImpacts[[#This Row],[sector]:[impactType]] )</f>
        <v>VibrioHadGEM2-ES3N/ALostDays</v>
      </c>
      <c r="C3004" s="42" t="s">
        <v>1303</v>
      </c>
      <c r="D3004" s="42" t="s">
        <v>3</v>
      </c>
      <c r="E3004" s="43">
        <v>3</v>
      </c>
      <c r="F3004" s="43"/>
      <c r="G3004" s="43" t="s">
        <v>201</v>
      </c>
      <c r="H3004" s="17" t="s">
        <v>1305</v>
      </c>
      <c r="I3004" s="57"/>
      <c r="J3004" s="126"/>
      <c r="K3004" s="17">
        <v>22184.878699090899</v>
      </c>
      <c r="L3004" s="46"/>
      <c r="M3004" s="17">
        <v>11278.654712727201</v>
      </c>
      <c r="N3004" s="17">
        <v>43112.9295863636</v>
      </c>
      <c r="O3004" s="17">
        <v>5886.7122381818099</v>
      </c>
      <c r="P3004" s="17">
        <v>4553.9540454545404</v>
      </c>
    </row>
    <row r="3005" spans="1:16" x14ac:dyDescent="0.25">
      <c r="A3005" s="47">
        <f xml:space="preserve"> ROW( data_scaledImpacts[[#This Row],[row_id]] ) - ROW( data_scaledImpacts[[#Headers],[row_id]] )</f>
        <v>3004</v>
      </c>
      <c r="B3005" s="54" t="str">
        <f xml:space="preserve"> _xlfn.TEXTJOIN( "", , data_scaledImpacts[[#This Row],[sector]:[impactType]] )</f>
        <v>VibrioHadGEM2-ES4N/ALostDays</v>
      </c>
      <c r="C3005" s="42" t="s">
        <v>1303</v>
      </c>
      <c r="D3005" s="42" t="s">
        <v>3</v>
      </c>
      <c r="E3005" s="43">
        <v>4</v>
      </c>
      <c r="F3005" s="43"/>
      <c r="G3005" s="43" t="s">
        <v>201</v>
      </c>
      <c r="H3005" s="17" t="s">
        <v>1305</v>
      </c>
      <c r="I3005" s="57"/>
      <c r="J3005" s="126"/>
      <c r="K3005" s="17">
        <v>32459.098680908999</v>
      </c>
      <c r="L3005" s="46"/>
      <c r="M3005" s="17">
        <v>18356.819612727199</v>
      </c>
      <c r="N3005" s="17">
        <v>56653.900767272702</v>
      </c>
      <c r="O3005" s="17">
        <v>7725.0268672727198</v>
      </c>
      <c r="P3005" s="17">
        <v>8281.4612136363594</v>
      </c>
    </row>
    <row r="3006" spans="1:16" x14ac:dyDescent="0.25">
      <c r="A3006" s="47">
        <f xml:space="preserve"> ROW( data_scaledImpacts[[#This Row],[row_id]] ) - ROW( data_scaledImpacts[[#Headers],[row_id]] )</f>
        <v>3005</v>
      </c>
      <c r="B3006" s="54" t="str">
        <f xml:space="preserve"> _xlfn.TEXTJOIN( "", , data_scaledImpacts[[#This Row],[sector]:[impactType]] )</f>
        <v>VibrioHadGEM2-ES5N/ALostDays</v>
      </c>
      <c r="C3006" s="42" t="s">
        <v>1303</v>
      </c>
      <c r="D3006" s="42" t="s">
        <v>3</v>
      </c>
      <c r="E3006" s="43">
        <v>5</v>
      </c>
      <c r="F3006" s="43"/>
      <c r="G3006" s="43" t="s">
        <v>201</v>
      </c>
      <c r="H3006" s="17" t="s">
        <v>1305</v>
      </c>
      <c r="I3006" s="57"/>
      <c r="J3006" s="126"/>
      <c r="K3006" s="17">
        <v>44569.024108181802</v>
      </c>
      <c r="L3006" s="46"/>
      <c r="M3006" s="17">
        <v>25293.830513636301</v>
      </c>
      <c r="N3006" s="17">
        <v>70333.766263636295</v>
      </c>
      <c r="O3006" s="17">
        <v>9322.27426727272</v>
      </c>
      <c r="P3006" s="17">
        <v>10718.6293936363</v>
      </c>
    </row>
    <row r="3007" spans="1:16" x14ac:dyDescent="0.25">
      <c r="A3007" s="47">
        <f xml:space="preserve"> ROW( data_scaledImpacts[[#This Row],[row_id]] ) - ROW( data_scaledImpacts[[#Headers],[row_id]] )</f>
        <v>3006</v>
      </c>
      <c r="B3007" s="54" t="str">
        <f xml:space="preserve"> _xlfn.TEXTJOIN( "", , data_scaledImpacts[[#This Row],[sector]:[impactType]] )</f>
        <v>VibrioHadGEM2-ES6N/ALostDays</v>
      </c>
      <c r="C3007" s="42" t="s">
        <v>1303</v>
      </c>
      <c r="D3007" s="42" t="s">
        <v>3</v>
      </c>
      <c r="E3007" s="43">
        <v>6</v>
      </c>
      <c r="F3007" s="43"/>
      <c r="G3007" s="43" t="s">
        <v>201</v>
      </c>
      <c r="H3007" s="17" t="s">
        <v>1305</v>
      </c>
      <c r="I3007" s="57"/>
      <c r="J3007" s="126"/>
      <c r="K3007" s="17">
        <v>61752.397370908999</v>
      </c>
      <c r="L3007" s="46"/>
      <c r="M3007" s="17">
        <v>31241.843797272701</v>
      </c>
      <c r="N3007" s="17">
        <v>92441.602670909095</v>
      </c>
      <c r="O3007" s="17">
        <v>12227.034585454499</v>
      </c>
      <c r="P3007" s="17">
        <v>13890.1254254545</v>
      </c>
    </row>
    <row r="3008" spans="1:16" x14ac:dyDescent="0.25">
      <c r="A3008" s="47">
        <f xml:space="preserve"> ROW( data_scaledImpacts[[#This Row],[row_id]] ) - ROW( data_scaledImpacts[[#Headers],[row_id]] )</f>
        <v>3007</v>
      </c>
      <c r="B3008" s="54" t="str">
        <f xml:space="preserve"> _xlfn.TEXTJOIN( "", , data_scaledImpacts[[#This Row],[sector]:[impactType]] )</f>
        <v>VibrioMIROC51N/ALostDays</v>
      </c>
      <c r="C3008" s="42" t="s">
        <v>1303</v>
      </c>
      <c r="D3008" s="42" t="s">
        <v>4</v>
      </c>
      <c r="E3008" s="43">
        <v>1</v>
      </c>
      <c r="F3008" s="43"/>
      <c r="G3008" s="43" t="s">
        <v>201</v>
      </c>
      <c r="H3008" s="17" t="s">
        <v>1305</v>
      </c>
      <c r="I3008" s="57"/>
      <c r="J3008" s="126"/>
      <c r="K3008" s="17">
        <v>4797.6916918181796</v>
      </c>
      <c r="L3008" s="46"/>
      <c r="M3008" s="17">
        <v>3116.9590981818101</v>
      </c>
      <c r="N3008" s="17">
        <v>9930.6362454545397</v>
      </c>
      <c r="O3008" s="17">
        <v>1589.01934363636</v>
      </c>
      <c r="P3008" s="17">
        <v>1024.52691363636</v>
      </c>
    </row>
    <row r="3009" spans="1:16" x14ac:dyDescent="0.25">
      <c r="A3009" s="47">
        <f xml:space="preserve"> ROW( data_scaledImpacts[[#This Row],[row_id]] ) - ROW( data_scaledImpacts[[#Headers],[row_id]] )</f>
        <v>3008</v>
      </c>
      <c r="B3009" s="54" t="str">
        <f xml:space="preserve"> _xlfn.TEXTJOIN( "", , data_scaledImpacts[[#This Row],[sector]:[impactType]] )</f>
        <v>VibrioMIROC52N/ALostDays</v>
      </c>
      <c r="C3009" s="42" t="s">
        <v>1303</v>
      </c>
      <c r="D3009" s="42" t="s">
        <v>4</v>
      </c>
      <c r="E3009" s="43">
        <v>2</v>
      </c>
      <c r="F3009" s="43"/>
      <c r="G3009" s="43" t="s">
        <v>201</v>
      </c>
      <c r="H3009" s="17" t="s">
        <v>1305</v>
      </c>
      <c r="I3009" s="57"/>
      <c r="J3009" s="126"/>
      <c r="K3009" s="17">
        <v>12018.908809999901</v>
      </c>
      <c r="L3009" s="46"/>
      <c r="M3009" s="17">
        <v>4984.2765781818098</v>
      </c>
      <c r="N3009" s="17">
        <v>21846.329738181801</v>
      </c>
      <c r="O3009" s="17">
        <v>3710.7758390908998</v>
      </c>
      <c r="P3009" s="17">
        <v>2642.2601281818102</v>
      </c>
    </row>
    <row r="3010" spans="1:16" x14ac:dyDescent="0.25">
      <c r="A3010" s="47">
        <f xml:space="preserve"> ROW( data_scaledImpacts[[#This Row],[row_id]] ) - ROW( data_scaledImpacts[[#Headers],[row_id]] )</f>
        <v>3009</v>
      </c>
      <c r="B3010" s="54" t="str">
        <f xml:space="preserve"> _xlfn.TEXTJOIN( "", , data_scaledImpacts[[#This Row],[sector]:[impactType]] )</f>
        <v>VibrioMIROC53N/ALostDays</v>
      </c>
      <c r="C3010" s="42" t="s">
        <v>1303</v>
      </c>
      <c r="D3010" s="42" t="s">
        <v>4</v>
      </c>
      <c r="E3010" s="43">
        <v>3</v>
      </c>
      <c r="F3010" s="43"/>
      <c r="G3010" s="43" t="s">
        <v>201</v>
      </c>
      <c r="H3010" s="17" t="s">
        <v>1305</v>
      </c>
      <c r="I3010" s="57"/>
      <c r="J3010" s="126"/>
      <c r="K3010" s="17">
        <v>21017.700333636301</v>
      </c>
      <c r="L3010" s="46"/>
      <c r="M3010" s="17">
        <v>8017.1901790909096</v>
      </c>
      <c r="N3010" s="17">
        <v>33313.313405454501</v>
      </c>
      <c r="O3010" s="17">
        <v>5502.4673554545398</v>
      </c>
      <c r="P3010" s="17">
        <v>4225.7053618181799</v>
      </c>
    </row>
    <row r="3011" spans="1:16" x14ac:dyDescent="0.25">
      <c r="A3011" s="47">
        <f xml:space="preserve"> ROW( data_scaledImpacts[[#This Row],[row_id]] ) - ROW( data_scaledImpacts[[#Headers],[row_id]] )</f>
        <v>3010</v>
      </c>
      <c r="B3011" s="54" t="str">
        <f xml:space="preserve"> _xlfn.TEXTJOIN( "", , data_scaledImpacts[[#This Row],[sector]:[impactType]] )</f>
        <v>VibrioMIROC54N/ALostDays</v>
      </c>
      <c r="C3011" s="42" t="s">
        <v>1303</v>
      </c>
      <c r="D3011" s="42" t="s">
        <v>4</v>
      </c>
      <c r="E3011" s="43">
        <v>4</v>
      </c>
      <c r="F3011" s="43"/>
      <c r="G3011" s="43" t="s">
        <v>201</v>
      </c>
      <c r="H3011" s="17" t="s">
        <v>1305</v>
      </c>
      <c r="I3011" s="57"/>
      <c r="J3011" s="126"/>
      <c r="K3011" s="17">
        <v>32688.300444545399</v>
      </c>
      <c r="L3011" s="46"/>
      <c r="M3011" s="17">
        <v>12598.237068181799</v>
      </c>
      <c r="N3011" s="17">
        <v>48721.867941818098</v>
      </c>
      <c r="O3011" s="17">
        <v>7458.6000218181798</v>
      </c>
      <c r="P3011" s="17">
        <v>5828.9741609090897</v>
      </c>
    </row>
    <row r="3012" spans="1:16" x14ac:dyDescent="0.25">
      <c r="A3012" s="47">
        <f xml:space="preserve"> ROW( data_scaledImpacts[[#This Row],[row_id]] ) - ROW( data_scaledImpacts[[#Headers],[row_id]] )</f>
        <v>3011</v>
      </c>
      <c r="B3012" s="54" t="str">
        <f xml:space="preserve"> _xlfn.TEXTJOIN( "", , data_scaledImpacts[[#This Row],[sector]:[impactType]] )</f>
        <v>VibrioMIROC55N/ALostDays</v>
      </c>
      <c r="C3012" s="42" t="s">
        <v>1303</v>
      </c>
      <c r="D3012" s="42" t="s">
        <v>4</v>
      </c>
      <c r="E3012" s="43">
        <v>5</v>
      </c>
      <c r="F3012" s="43"/>
      <c r="G3012" s="43" t="s">
        <v>201</v>
      </c>
      <c r="H3012" s="17" t="s">
        <v>1305</v>
      </c>
      <c r="I3012" s="57"/>
      <c r="J3012" s="126"/>
      <c r="K3012" s="17">
        <v>39394.748902727202</v>
      </c>
      <c r="L3012" s="46"/>
      <c r="M3012" s="17">
        <v>16527.306290909</v>
      </c>
      <c r="N3012" s="17">
        <v>65658.773160908997</v>
      </c>
      <c r="O3012" s="17">
        <v>10430.508167272699</v>
      </c>
      <c r="P3012" s="17">
        <v>8722.7894145454502</v>
      </c>
    </row>
    <row r="3013" spans="1:16" x14ac:dyDescent="0.25">
      <c r="A3013" s="47">
        <f xml:space="preserve"> ROW( data_scaledImpacts[[#This Row],[row_id]] ) - ROW( data_scaledImpacts[[#Headers],[row_id]] )</f>
        <v>3012</v>
      </c>
      <c r="B3013" s="54" t="str">
        <f xml:space="preserve"> _xlfn.TEXTJOIN( "", , data_scaledImpacts[[#This Row],[sector]:[impactType]] )</f>
        <v>VibrioCanESM21N/AMortality</v>
      </c>
      <c r="C3013" s="42" t="s">
        <v>1303</v>
      </c>
      <c r="D3013" s="42" t="s">
        <v>0</v>
      </c>
      <c r="E3013" s="43">
        <v>1</v>
      </c>
      <c r="F3013" s="43"/>
      <c r="G3013" s="43" t="s">
        <v>201</v>
      </c>
      <c r="H3013" s="17" t="s">
        <v>768</v>
      </c>
      <c r="I3013" s="57"/>
      <c r="J3013" s="126"/>
      <c r="K3013" s="17">
        <v>9.7947617854545399</v>
      </c>
      <c r="L3013" s="46"/>
      <c r="M3013" s="17">
        <v>1.54975962636363</v>
      </c>
      <c r="N3013" s="17">
        <v>18.299361430908998</v>
      </c>
      <c r="O3013" s="17">
        <v>3.5194487727272699</v>
      </c>
      <c r="P3013" s="17">
        <v>0.91192688636363595</v>
      </c>
    </row>
    <row r="3014" spans="1:16" x14ac:dyDescent="0.25">
      <c r="A3014" s="47">
        <f xml:space="preserve"> ROW( data_scaledImpacts[[#This Row],[row_id]] ) - ROW( data_scaledImpacts[[#Headers],[row_id]] )</f>
        <v>3013</v>
      </c>
      <c r="B3014" s="54" t="str">
        <f xml:space="preserve"> _xlfn.TEXTJOIN( "", , data_scaledImpacts[[#This Row],[sector]:[impactType]] )</f>
        <v>VibrioCanESM22N/AMortality</v>
      </c>
      <c r="C3014" s="42" t="s">
        <v>1303</v>
      </c>
      <c r="D3014" s="42" t="s">
        <v>0</v>
      </c>
      <c r="E3014" s="43">
        <v>2</v>
      </c>
      <c r="F3014" s="43"/>
      <c r="G3014" s="43" t="s">
        <v>201</v>
      </c>
      <c r="H3014" s="17" t="s">
        <v>768</v>
      </c>
      <c r="I3014" s="57"/>
      <c r="J3014" s="126"/>
      <c r="K3014" s="17">
        <v>18.818104550908998</v>
      </c>
      <c r="L3014" s="46"/>
      <c r="M3014" s="17">
        <v>3.6638152518181801</v>
      </c>
      <c r="N3014" s="17">
        <v>39.333075795454498</v>
      </c>
      <c r="O3014" s="17">
        <v>7.4998157454545398</v>
      </c>
      <c r="P3014" s="17">
        <v>2.7522876863636299</v>
      </c>
    </row>
    <row r="3015" spans="1:16" x14ac:dyDescent="0.25">
      <c r="A3015" s="47">
        <f xml:space="preserve"> ROW( data_scaledImpacts[[#This Row],[row_id]] ) - ROW( data_scaledImpacts[[#Headers],[row_id]] )</f>
        <v>3014</v>
      </c>
      <c r="B3015" s="54" t="str">
        <f xml:space="preserve"> _xlfn.TEXTJOIN( "", , data_scaledImpacts[[#This Row],[sector]:[impactType]] )</f>
        <v>VibrioCanESM23N/AMortality</v>
      </c>
      <c r="C3015" s="42" t="s">
        <v>1303</v>
      </c>
      <c r="D3015" s="42" t="s">
        <v>0</v>
      </c>
      <c r="E3015" s="43">
        <v>3</v>
      </c>
      <c r="F3015" s="43"/>
      <c r="G3015" s="43" t="s">
        <v>201</v>
      </c>
      <c r="H3015" s="17" t="s">
        <v>768</v>
      </c>
      <c r="I3015" s="57"/>
      <c r="J3015" s="126"/>
      <c r="K3015" s="17">
        <v>27.8302691745454</v>
      </c>
      <c r="L3015" s="46"/>
      <c r="M3015" s="17">
        <v>7.2388689490909002</v>
      </c>
      <c r="N3015" s="17">
        <v>57.689594899999904</v>
      </c>
      <c r="O3015" s="17">
        <v>11.802892918181801</v>
      </c>
      <c r="P3015" s="17">
        <v>4.26822068727272</v>
      </c>
    </row>
    <row r="3016" spans="1:16" x14ac:dyDescent="0.25">
      <c r="A3016" s="47">
        <f xml:space="preserve"> ROW( data_scaledImpacts[[#This Row],[row_id]] ) - ROW( data_scaledImpacts[[#Headers],[row_id]] )</f>
        <v>3015</v>
      </c>
      <c r="B3016" s="54" t="str">
        <f xml:space="preserve"> _xlfn.TEXTJOIN( "", , data_scaledImpacts[[#This Row],[sector]:[impactType]] )</f>
        <v>VibrioCanESM24N/AMortality</v>
      </c>
      <c r="C3016" s="42" t="s">
        <v>1303</v>
      </c>
      <c r="D3016" s="42" t="s">
        <v>0</v>
      </c>
      <c r="E3016" s="43">
        <v>4</v>
      </c>
      <c r="F3016" s="43"/>
      <c r="G3016" s="43" t="s">
        <v>201</v>
      </c>
      <c r="H3016" s="17" t="s">
        <v>768</v>
      </c>
      <c r="I3016" s="57"/>
      <c r="J3016" s="126"/>
      <c r="K3016" s="17">
        <v>40.754583707272701</v>
      </c>
      <c r="L3016" s="46"/>
      <c r="M3016" s="17">
        <v>11.8719671199999</v>
      </c>
      <c r="N3016" s="17">
        <v>80.827759817272707</v>
      </c>
      <c r="O3016" s="17">
        <v>17.047060136363601</v>
      </c>
      <c r="P3016" s="17">
        <v>6.8312473990909099</v>
      </c>
    </row>
    <row r="3017" spans="1:16" x14ac:dyDescent="0.25">
      <c r="A3017" s="47">
        <f xml:space="preserve"> ROW( data_scaledImpacts[[#This Row],[row_id]] ) - ROW( data_scaledImpacts[[#Headers],[row_id]] )</f>
        <v>3016</v>
      </c>
      <c r="B3017" s="54" t="str">
        <f xml:space="preserve"> _xlfn.TEXTJOIN( "", , data_scaledImpacts[[#This Row],[sector]:[impactType]] )</f>
        <v>VibrioCanESM25N/AMortality</v>
      </c>
      <c r="C3017" s="42" t="s">
        <v>1303</v>
      </c>
      <c r="D3017" s="42" t="s">
        <v>0</v>
      </c>
      <c r="E3017" s="43">
        <v>5</v>
      </c>
      <c r="F3017" s="43"/>
      <c r="G3017" s="43" t="s">
        <v>201</v>
      </c>
      <c r="H3017" s="17" t="s">
        <v>768</v>
      </c>
      <c r="I3017" s="57"/>
      <c r="J3017" s="126"/>
      <c r="K3017" s="17">
        <v>53.989537088181798</v>
      </c>
      <c r="L3017" s="46"/>
      <c r="M3017" s="17">
        <v>16.799595767272699</v>
      </c>
      <c r="N3017" s="17">
        <v>101.321149337272</v>
      </c>
      <c r="O3017" s="17">
        <v>20.223383663636302</v>
      </c>
      <c r="P3017" s="17">
        <v>9.3280113354545406</v>
      </c>
    </row>
    <row r="3018" spans="1:16" x14ac:dyDescent="0.25">
      <c r="A3018" s="47">
        <f xml:space="preserve"> ROW( data_scaledImpacts[[#This Row],[row_id]] ) - ROW( data_scaledImpacts[[#Headers],[row_id]] )</f>
        <v>3017</v>
      </c>
      <c r="B3018" s="54" t="str">
        <f xml:space="preserve"> _xlfn.TEXTJOIN( "", , data_scaledImpacts[[#This Row],[sector]:[impactType]] )</f>
        <v>VibrioCanESM26N/AMortality</v>
      </c>
      <c r="C3018" s="42" t="s">
        <v>1303</v>
      </c>
      <c r="D3018" s="42" t="s">
        <v>0</v>
      </c>
      <c r="E3018" s="43">
        <v>6</v>
      </c>
      <c r="F3018" s="43"/>
      <c r="G3018" s="43" t="s">
        <v>201</v>
      </c>
      <c r="H3018" s="17" t="s">
        <v>768</v>
      </c>
      <c r="I3018" s="57"/>
      <c r="J3018" s="126"/>
      <c r="K3018" s="17">
        <v>70.441704229999999</v>
      </c>
      <c r="L3018" s="46"/>
      <c r="M3018" s="17">
        <v>23.072546988181799</v>
      </c>
      <c r="N3018" s="17">
        <v>134.15450353909</v>
      </c>
      <c r="O3018" s="17">
        <v>27.2595458454545</v>
      </c>
      <c r="P3018" s="17">
        <v>12.9184342345454</v>
      </c>
    </row>
    <row r="3019" spans="1:16" x14ac:dyDescent="0.25">
      <c r="A3019" s="47">
        <f xml:space="preserve"> ROW( data_scaledImpacts[[#This Row],[row_id]] ) - ROW( data_scaledImpacts[[#Headers],[row_id]] )</f>
        <v>3018</v>
      </c>
      <c r="B3019" s="54" t="str">
        <f xml:space="preserve"> _xlfn.TEXTJOIN( "", , data_scaledImpacts[[#This Row],[sector]:[impactType]] )</f>
        <v>VibrioCCSM41N/AMortality</v>
      </c>
      <c r="C3019" s="42" t="s">
        <v>1303</v>
      </c>
      <c r="D3019" s="42" t="s">
        <v>1</v>
      </c>
      <c r="E3019" s="43">
        <v>1</v>
      </c>
      <c r="F3019" s="43"/>
      <c r="G3019" s="43" t="s">
        <v>201</v>
      </c>
      <c r="H3019" s="17" t="s">
        <v>768</v>
      </c>
      <c r="I3019" s="57"/>
      <c r="J3019" s="126"/>
      <c r="K3019" s="17">
        <v>5.8479538045454502</v>
      </c>
      <c r="L3019" s="46"/>
      <c r="M3019" s="17">
        <v>0.95619391454545299</v>
      </c>
      <c r="N3019" s="17">
        <v>14.4286261827272</v>
      </c>
      <c r="O3019" s="17">
        <v>3.58628867272727</v>
      </c>
      <c r="P3019" s="17">
        <v>0.91279279272727198</v>
      </c>
    </row>
    <row r="3020" spans="1:16" x14ac:dyDescent="0.25">
      <c r="A3020" s="47">
        <f xml:space="preserve"> ROW( data_scaledImpacts[[#This Row],[row_id]] ) - ROW( data_scaledImpacts[[#Headers],[row_id]] )</f>
        <v>3019</v>
      </c>
      <c r="B3020" s="54" t="str">
        <f xml:space="preserve"> _xlfn.TEXTJOIN( "", , data_scaledImpacts[[#This Row],[sector]:[impactType]] )</f>
        <v>VibrioCCSM42N/AMortality</v>
      </c>
      <c r="C3020" s="42" t="s">
        <v>1303</v>
      </c>
      <c r="D3020" s="42" t="s">
        <v>1</v>
      </c>
      <c r="E3020" s="43">
        <v>2</v>
      </c>
      <c r="F3020" s="43"/>
      <c r="G3020" s="43" t="s">
        <v>201</v>
      </c>
      <c r="H3020" s="17" t="s">
        <v>768</v>
      </c>
      <c r="I3020" s="57"/>
      <c r="J3020" s="126"/>
      <c r="K3020" s="17">
        <v>12.6560284645454</v>
      </c>
      <c r="L3020" s="46"/>
      <c r="M3020" s="17">
        <v>2.3159936445454501</v>
      </c>
      <c r="N3020" s="17">
        <v>30.362988914545401</v>
      </c>
      <c r="O3020" s="17">
        <v>6.4354421818181802</v>
      </c>
      <c r="P3020" s="17">
        <v>2.0569842199999999</v>
      </c>
    </row>
    <row r="3021" spans="1:16" x14ac:dyDescent="0.25">
      <c r="A3021" s="47">
        <f xml:space="preserve"> ROW( data_scaledImpacts[[#This Row],[row_id]] ) - ROW( data_scaledImpacts[[#Headers],[row_id]] )</f>
        <v>3020</v>
      </c>
      <c r="B3021" s="54" t="str">
        <f xml:space="preserve"> _xlfn.TEXTJOIN( "", , data_scaledImpacts[[#This Row],[sector]:[impactType]] )</f>
        <v>VibrioCCSM43N/AMortality</v>
      </c>
      <c r="C3021" s="42" t="s">
        <v>1303</v>
      </c>
      <c r="D3021" s="42" t="s">
        <v>1</v>
      </c>
      <c r="E3021" s="43">
        <v>3</v>
      </c>
      <c r="F3021" s="43"/>
      <c r="G3021" s="43" t="s">
        <v>201</v>
      </c>
      <c r="H3021" s="17" t="s">
        <v>768</v>
      </c>
      <c r="I3021" s="57"/>
      <c r="J3021" s="126"/>
      <c r="K3021" s="17">
        <v>22.5567073090909</v>
      </c>
      <c r="L3021" s="46"/>
      <c r="M3021" s="17">
        <v>4.5319592536363604</v>
      </c>
      <c r="N3021" s="17">
        <v>54.658836952727199</v>
      </c>
      <c r="O3021" s="17">
        <v>11.674858827272701</v>
      </c>
      <c r="P3021" s="17">
        <v>3.0513758927272701</v>
      </c>
    </row>
    <row r="3022" spans="1:16" x14ac:dyDescent="0.25">
      <c r="A3022" s="47">
        <f xml:space="preserve"> ROW( data_scaledImpacts[[#This Row],[row_id]] ) - ROW( data_scaledImpacts[[#Headers],[row_id]] )</f>
        <v>3021</v>
      </c>
      <c r="B3022" s="54" t="str">
        <f xml:space="preserve"> _xlfn.TEXTJOIN( "", , data_scaledImpacts[[#This Row],[sector]:[impactType]] )</f>
        <v>VibrioCCSM44N/AMortality</v>
      </c>
      <c r="C3022" s="42" t="s">
        <v>1303</v>
      </c>
      <c r="D3022" s="42" t="s">
        <v>1</v>
      </c>
      <c r="E3022" s="43">
        <v>4</v>
      </c>
      <c r="F3022" s="43"/>
      <c r="G3022" s="43" t="s">
        <v>201</v>
      </c>
      <c r="H3022" s="17" t="s">
        <v>768</v>
      </c>
      <c r="I3022" s="57"/>
      <c r="J3022" s="126"/>
      <c r="K3022" s="17">
        <v>30.5673104881818</v>
      </c>
      <c r="L3022" s="46"/>
      <c r="M3022" s="17">
        <v>7.9145316136363597</v>
      </c>
      <c r="N3022" s="17">
        <v>72.933318216363602</v>
      </c>
      <c r="O3022" s="17">
        <v>15.1297206272727</v>
      </c>
      <c r="P3022" s="17">
        <v>5.2845016218181797</v>
      </c>
    </row>
    <row r="3023" spans="1:16" x14ac:dyDescent="0.25">
      <c r="A3023" s="47">
        <f xml:space="preserve"> ROW( data_scaledImpacts[[#This Row],[row_id]] ) - ROW( data_scaledImpacts[[#Headers],[row_id]] )</f>
        <v>3022</v>
      </c>
      <c r="B3023" s="54" t="str">
        <f xml:space="preserve"> _xlfn.TEXTJOIN( "", , data_scaledImpacts[[#This Row],[sector]:[impactType]] )</f>
        <v>VibrioCCSM45N/AMortality</v>
      </c>
      <c r="C3023" s="42" t="s">
        <v>1303</v>
      </c>
      <c r="D3023" s="42" t="s">
        <v>1</v>
      </c>
      <c r="E3023" s="43">
        <v>5</v>
      </c>
      <c r="F3023" s="43"/>
      <c r="G3023" s="43" t="s">
        <v>201</v>
      </c>
      <c r="H3023" s="17" t="s">
        <v>768</v>
      </c>
      <c r="I3023" s="57"/>
      <c r="J3023" s="126"/>
      <c r="K3023" s="17">
        <v>40.508944169090903</v>
      </c>
      <c r="L3023" s="46"/>
      <c r="M3023" s="17">
        <v>9.6566889372727207</v>
      </c>
      <c r="N3023" s="17">
        <v>102.745055784545</v>
      </c>
      <c r="O3023" s="17">
        <v>22.541477672727201</v>
      </c>
      <c r="P3023" s="17">
        <v>5.6552025109090902</v>
      </c>
    </row>
    <row r="3024" spans="1:16" x14ac:dyDescent="0.25">
      <c r="A3024" s="47">
        <f xml:space="preserve"> ROW( data_scaledImpacts[[#This Row],[row_id]] ) - ROW( data_scaledImpacts[[#Headers],[row_id]] )</f>
        <v>3023</v>
      </c>
      <c r="B3024" s="54" t="str">
        <f xml:space="preserve"> _xlfn.TEXTJOIN( "", , data_scaledImpacts[[#This Row],[sector]:[impactType]] )</f>
        <v>VibrioGFDL-CM31N/AMortality</v>
      </c>
      <c r="C3024" s="42" t="s">
        <v>1303</v>
      </c>
      <c r="D3024" s="42" t="s">
        <v>5</v>
      </c>
      <c r="E3024" s="43">
        <v>1</v>
      </c>
      <c r="F3024" s="43"/>
      <c r="G3024" s="43" t="s">
        <v>201</v>
      </c>
      <c r="H3024" s="17" t="s">
        <v>768</v>
      </c>
      <c r="I3024" s="57"/>
      <c r="J3024" s="126"/>
      <c r="K3024" s="17">
        <v>10.7974594981818</v>
      </c>
      <c r="L3024" s="46"/>
      <c r="M3024" s="17">
        <v>1.0672299109090899</v>
      </c>
      <c r="N3024" s="17">
        <v>22.963696842727199</v>
      </c>
      <c r="O3024" s="17">
        <v>5.2827954454545401</v>
      </c>
      <c r="P3024" s="17">
        <v>0.96962444999999997</v>
      </c>
    </row>
    <row r="3025" spans="1:16" x14ac:dyDescent="0.25">
      <c r="A3025" s="47">
        <f xml:space="preserve"> ROW( data_scaledImpacts[[#This Row],[row_id]] ) - ROW( data_scaledImpacts[[#Headers],[row_id]] )</f>
        <v>3024</v>
      </c>
      <c r="B3025" s="54" t="str">
        <f xml:space="preserve"> _xlfn.TEXTJOIN( "", , data_scaledImpacts[[#This Row],[sector]:[impactType]] )</f>
        <v>VibrioGFDL-CM32N/AMortality</v>
      </c>
      <c r="C3025" s="42" t="s">
        <v>1303</v>
      </c>
      <c r="D3025" s="42" t="s">
        <v>5</v>
      </c>
      <c r="E3025" s="43">
        <v>2</v>
      </c>
      <c r="F3025" s="43"/>
      <c r="G3025" s="43" t="s">
        <v>201</v>
      </c>
      <c r="H3025" s="17" t="s">
        <v>768</v>
      </c>
      <c r="I3025" s="57"/>
      <c r="J3025" s="126"/>
      <c r="K3025" s="17">
        <v>18.4544207227272</v>
      </c>
      <c r="L3025" s="46"/>
      <c r="M3025" s="17">
        <v>2.7095887481818099</v>
      </c>
      <c r="N3025" s="17">
        <v>44.606044374545398</v>
      </c>
      <c r="O3025" s="17">
        <v>10.0390036545454</v>
      </c>
      <c r="P3025" s="17">
        <v>2.08401330272727</v>
      </c>
    </row>
    <row r="3026" spans="1:16" x14ac:dyDescent="0.25">
      <c r="A3026" s="47">
        <f xml:space="preserve"> ROW( data_scaledImpacts[[#This Row],[row_id]] ) - ROW( data_scaledImpacts[[#Headers],[row_id]] )</f>
        <v>3025</v>
      </c>
      <c r="B3026" s="54" t="str">
        <f xml:space="preserve"> _xlfn.TEXTJOIN( "", , data_scaledImpacts[[#This Row],[sector]:[impactType]] )</f>
        <v>VibrioGFDL-CM33N/AMortality</v>
      </c>
      <c r="C3026" s="42" t="s">
        <v>1303</v>
      </c>
      <c r="D3026" s="42" t="s">
        <v>5</v>
      </c>
      <c r="E3026" s="43">
        <v>3</v>
      </c>
      <c r="F3026" s="43"/>
      <c r="G3026" s="43" t="s">
        <v>201</v>
      </c>
      <c r="H3026" s="17" t="s">
        <v>768</v>
      </c>
      <c r="I3026" s="57"/>
      <c r="J3026" s="126"/>
      <c r="K3026" s="17">
        <v>31.655211530909</v>
      </c>
      <c r="L3026" s="46"/>
      <c r="M3026" s="17">
        <v>5.3989503381818098</v>
      </c>
      <c r="N3026" s="17">
        <v>67.558204368181805</v>
      </c>
      <c r="O3026" s="17">
        <v>15.503228799999899</v>
      </c>
      <c r="P3026" s="17">
        <v>3.96069435454545</v>
      </c>
    </row>
    <row r="3027" spans="1:16" x14ac:dyDescent="0.25">
      <c r="A3027" s="47">
        <f xml:space="preserve"> ROW( data_scaledImpacts[[#This Row],[row_id]] ) - ROW( data_scaledImpacts[[#Headers],[row_id]] )</f>
        <v>3026</v>
      </c>
      <c r="B3027" s="54" t="str">
        <f xml:space="preserve"> _xlfn.TEXTJOIN( "", , data_scaledImpacts[[#This Row],[sector]:[impactType]] )</f>
        <v>VibrioGFDL-CM34N/AMortality</v>
      </c>
      <c r="C3027" s="42" t="s">
        <v>1303</v>
      </c>
      <c r="D3027" s="42" t="s">
        <v>5</v>
      </c>
      <c r="E3027" s="43">
        <v>4</v>
      </c>
      <c r="F3027" s="43"/>
      <c r="G3027" s="43" t="s">
        <v>201</v>
      </c>
      <c r="H3027" s="17" t="s">
        <v>768</v>
      </c>
      <c r="I3027" s="57"/>
      <c r="J3027" s="126"/>
      <c r="K3027" s="17">
        <v>44.381429854545402</v>
      </c>
      <c r="L3027" s="46"/>
      <c r="M3027" s="17">
        <v>7.7198512700000004</v>
      </c>
      <c r="N3027" s="17">
        <v>96.335030094545402</v>
      </c>
      <c r="O3027" s="17">
        <v>21.1491489727272</v>
      </c>
      <c r="P3027" s="17">
        <v>5.7130689254545404</v>
      </c>
    </row>
    <row r="3028" spans="1:16" x14ac:dyDescent="0.25">
      <c r="A3028" s="47">
        <f xml:space="preserve"> ROW( data_scaledImpacts[[#This Row],[row_id]] ) - ROW( data_scaledImpacts[[#Headers],[row_id]] )</f>
        <v>3027</v>
      </c>
      <c r="B3028" s="54" t="str">
        <f xml:space="preserve"> _xlfn.TEXTJOIN( "", , data_scaledImpacts[[#This Row],[sector]:[impactType]] )</f>
        <v>VibrioGFDL-CM35N/AMortality</v>
      </c>
      <c r="C3028" s="42" t="s">
        <v>1303</v>
      </c>
      <c r="D3028" s="42" t="s">
        <v>5</v>
      </c>
      <c r="E3028" s="43">
        <v>5</v>
      </c>
      <c r="F3028" s="43"/>
      <c r="G3028" s="43" t="s">
        <v>201</v>
      </c>
      <c r="H3028" s="17" t="s">
        <v>768</v>
      </c>
      <c r="I3028" s="57"/>
      <c r="J3028" s="126"/>
      <c r="K3028" s="17">
        <v>53.081244705000003</v>
      </c>
      <c r="L3028" s="46"/>
      <c r="M3028" s="17">
        <v>8.7410752699999996</v>
      </c>
      <c r="N3028" s="17">
        <v>117.5615456</v>
      </c>
      <c r="O3028" s="17">
        <v>25.2534033499999</v>
      </c>
      <c r="P3028" s="17">
        <v>7.1536169799999998</v>
      </c>
    </row>
    <row r="3029" spans="1:16" x14ac:dyDescent="0.25">
      <c r="A3029" s="47">
        <f xml:space="preserve"> ROW( data_scaledImpacts[[#This Row],[row_id]] ) - ROW( data_scaledImpacts[[#Headers],[row_id]] )</f>
        <v>3028</v>
      </c>
      <c r="B3029" s="54" t="str">
        <f xml:space="preserve"> _xlfn.TEXTJOIN( "", , data_scaledImpacts[[#This Row],[sector]:[impactType]] )</f>
        <v>VibrioGFDL-CM36N/AMortality</v>
      </c>
      <c r="C3029" s="42" t="s">
        <v>1303</v>
      </c>
      <c r="D3029" s="42" t="s">
        <v>5</v>
      </c>
      <c r="E3029" s="43">
        <v>6</v>
      </c>
      <c r="F3029" s="43"/>
      <c r="G3029" s="43" t="s">
        <v>201</v>
      </c>
      <c r="H3029" s="17" t="s">
        <v>768</v>
      </c>
      <c r="I3029" s="57"/>
      <c r="J3029" s="126"/>
      <c r="K3029" s="17">
        <v>72.037234706363606</v>
      </c>
      <c r="L3029" s="46"/>
      <c r="M3029" s="17">
        <v>14.758237599090901</v>
      </c>
      <c r="N3029" s="17">
        <v>153.17248859363599</v>
      </c>
      <c r="O3029" s="17">
        <v>33.581090181818098</v>
      </c>
      <c r="P3029" s="17">
        <v>9.6724377254545395</v>
      </c>
    </row>
    <row r="3030" spans="1:16" x14ac:dyDescent="0.25">
      <c r="A3030" s="47">
        <f xml:space="preserve"> ROW( data_scaledImpacts[[#This Row],[row_id]] ) - ROW( data_scaledImpacts[[#Headers],[row_id]] )</f>
        <v>3029</v>
      </c>
      <c r="B3030" s="54" t="str">
        <f xml:space="preserve"> _xlfn.TEXTJOIN( "", , data_scaledImpacts[[#This Row],[sector]:[impactType]] )</f>
        <v>VibrioGISS-E2-R1N/AMortality</v>
      </c>
      <c r="C3030" s="42" t="s">
        <v>1303</v>
      </c>
      <c r="D3030" s="42" t="s">
        <v>2</v>
      </c>
      <c r="E3030" s="43">
        <v>1</v>
      </c>
      <c r="F3030" s="43"/>
      <c r="G3030" s="43" t="s">
        <v>201</v>
      </c>
      <c r="H3030" s="17" t="s">
        <v>768</v>
      </c>
      <c r="I3030" s="57"/>
      <c r="J3030" s="126"/>
      <c r="K3030" s="17">
        <v>7.7177262863636296</v>
      </c>
      <c r="L3030" s="46"/>
      <c r="M3030" s="17">
        <v>1.35178471272727</v>
      </c>
      <c r="N3030" s="17">
        <v>18.697529047272699</v>
      </c>
      <c r="O3030" s="17">
        <v>3.70047832727272</v>
      </c>
      <c r="P3030" s="17">
        <v>1.03109110090909</v>
      </c>
    </row>
    <row r="3031" spans="1:16" x14ac:dyDescent="0.25">
      <c r="A3031" s="47">
        <f xml:space="preserve"> ROW( data_scaledImpacts[[#This Row],[row_id]] ) - ROW( data_scaledImpacts[[#Headers],[row_id]] )</f>
        <v>3030</v>
      </c>
      <c r="B3031" s="54" t="str">
        <f xml:space="preserve"> _xlfn.TEXTJOIN( "", , data_scaledImpacts[[#This Row],[sector]:[impactType]] )</f>
        <v>VibrioGISS-E2-R2N/AMortality</v>
      </c>
      <c r="C3031" s="42" t="s">
        <v>1303</v>
      </c>
      <c r="D3031" s="42" t="s">
        <v>2</v>
      </c>
      <c r="E3031" s="43">
        <v>2</v>
      </c>
      <c r="F3031" s="43"/>
      <c r="G3031" s="43" t="s">
        <v>201</v>
      </c>
      <c r="H3031" s="17" t="s">
        <v>768</v>
      </c>
      <c r="I3031" s="57"/>
      <c r="J3031" s="126"/>
      <c r="K3031" s="17">
        <v>12.505540471818099</v>
      </c>
      <c r="L3031" s="46"/>
      <c r="M3031" s="17">
        <v>2.8714616781818099</v>
      </c>
      <c r="N3031" s="17">
        <v>40.751822802727197</v>
      </c>
      <c r="O3031" s="17">
        <v>7.6698701363636301</v>
      </c>
      <c r="P3031" s="17">
        <v>2.4447074781818099</v>
      </c>
    </row>
    <row r="3032" spans="1:16" x14ac:dyDescent="0.25">
      <c r="A3032" s="47">
        <f xml:space="preserve"> ROW( data_scaledImpacts[[#This Row],[row_id]] ) - ROW( data_scaledImpacts[[#Headers],[row_id]] )</f>
        <v>3031</v>
      </c>
      <c r="B3032" s="54" t="str">
        <f xml:space="preserve"> _xlfn.TEXTJOIN( "", , data_scaledImpacts[[#This Row],[sector]:[impactType]] )</f>
        <v>VibrioGISS-E2-R3N/AMortality</v>
      </c>
      <c r="C3032" s="42" t="s">
        <v>1303</v>
      </c>
      <c r="D3032" s="42" t="s">
        <v>2</v>
      </c>
      <c r="E3032" s="43">
        <v>3</v>
      </c>
      <c r="F3032" s="43"/>
      <c r="G3032" s="43" t="s">
        <v>201</v>
      </c>
      <c r="H3032" s="17" t="s">
        <v>768</v>
      </c>
      <c r="I3032" s="57"/>
      <c r="J3032" s="126"/>
      <c r="K3032" s="17">
        <v>25.716040476363599</v>
      </c>
      <c r="L3032" s="46"/>
      <c r="M3032" s="17">
        <v>3.7982920599999899</v>
      </c>
      <c r="N3032" s="17">
        <v>65.369809613636306</v>
      </c>
      <c r="O3032" s="17">
        <v>11.6701816181818</v>
      </c>
      <c r="P3032" s="17">
        <v>3.6570609963636298</v>
      </c>
    </row>
    <row r="3033" spans="1:16" x14ac:dyDescent="0.25">
      <c r="A3033" s="47">
        <f xml:space="preserve"> ROW( data_scaledImpacts[[#This Row],[row_id]] ) - ROW( data_scaledImpacts[[#Headers],[row_id]] )</f>
        <v>3032</v>
      </c>
      <c r="B3033" s="54" t="str">
        <f xml:space="preserve"> _xlfn.TEXTJOIN( "", , data_scaledImpacts[[#This Row],[sector]:[impactType]] )</f>
        <v>VibrioHadGEM2-ES1N/AMortality</v>
      </c>
      <c r="C3033" s="42" t="s">
        <v>1303</v>
      </c>
      <c r="D3033" s="42" t="s">
        <v>3</v>
      </c>
      <c r="E3033" s="43">
        <v>1</v>
      </c>
      <c r="F3033" s="43"/>
      <c r="G3033" s="43" t="s">
        <v>201</v>
      </c>
      <c r="H3033" s="17" t="s">
        <v>768</v>
      </c>
      <c r="I3033" s="57"/>
      <c r="J3033" s="126"/>
      <c r="K3033" s="17">
        <v>7.1878791972727196</v>
      </c>
      <c r="L3033" s="46"/>
      <c r="M3033" s="17">
        <v>1.74050991090909</v>
      </c>
      <c r="N3033" s="17">
        <v>25.76141063</v>
      </c>
      <c r="O3033" s="17">
        <v>4.2021666363636303</v>
      </c>
      <c r="P3033" s="17">
        <v>0.66136857909090896</v>
      </c>
    </row>
    <row r="3034" spans="1:16" x14ac:dyDescent="0.25">
      <c r="A3034" s="47">
        <f xml:space="preserve"> ROW( data_scaledImpacts[[#This Row],[row_id]] ) - ROW( data_scaledImpacts[[#Headers],[row_id]] )</f>
        <v>3033</v>
      </c>
      <c r="B3034" s="54" t="str">
        <f xml:space="preserve"> _xlfn.TEXTJOIN( "", , data_scaledImpacts[[#This Row],[sector]:[impactType]] )</f>
        <v>VibrioHadGEM2-ES2N/AMortality</v>
      </c>
      <c r="C3034" s="42" t="s">
        <v>1303</v>
      </c>
      <c r="D3034" s="42" t="s">
        <v>3</v>
      </c>
      <c r="E3034" s="43">
        <v>2</v>
      </c>
      <c r="F3034" s="43"/>
      <c r="G3034" s="43" t="s">
        <v>201</v>
      </c>
      <c r="H3034" s="17" t="s">
        <v>768</v>
      </c>
      <c r="I3034" s="57"/>
      <c r="J3034" s="126"/>
      <c r="K3034" s="17">
        <v>15.0623512018181</v>
      </c>
      <c r="L3034" s="46"/>
      <c r="M3034" s="17">
        <v>2.8487612027272702</v>
      </c>
      <c r="N3034" s="17">
        <v>40.895580159090898</v>
      </c>
      <c r="O3034" s="17">
        <v>8.9457990363636295</v>
      </c>
      <c r="P3034" s="17">
        <v>1.8573756772727199</v>
      </c>
    </row>
    <row r="3035" spans="1:16" x14ac:dyDescent="0.25">
      <c r="A3035" s="47">
        <f xml:space="preserve"> ROW( data_scaledImpacts[[#This Row],[row_id]] ) - ROW( data_scaledImpacts[[#Headers],[row_id]] )</f>
        <v>3034</v>
      </c>
      <c r="B3035" s="54" t="str">
        <f xml:space="preserve"> _xlfn.TEXTJOIN( "", , data_scaledImpacts[[#This Row],[sector]:[impactType]] )</f>
        <v>VibrioHadGEM2-ES3N/AMortality</v>
      </c>
      <c r="C3035" s="42" t="s">
        <v>1303</v>
      </c>
      <c r="D3035" s="42" t="s">
        <v>3</v>
      </c>
      <c r="E3035" s="43">
        <v>3</v>
      </c>
      <c r="F3035" s="43"/>
      <c r="G3035" s="43" t="s">
        <v>201</v>
      </c>
      <c r="H3035" s="17" t="s">
        <v>768</v>
      </c>
      <c r="I3035" s="57"/>
      <c r="J3035" s="126"/>
      <c r="K3035" s="17">
        <v>23.9682217054545</v>
      </c>
      <c r="L3035" s="46"/>
      <c r="M3035" s="17">
        <v>4.3454723872727197</v>
      </c>
      <c r="N3035" s="17">
        <v>63.987313636363602</v>
      </c>
      <c r="O3035" s="17">
        <v>11.983481136363601</v>
      </c>
      <c r="P3035" s="17">
        <v>2.9505413309090902</v>
      </c>
    </row>
    <row r="3036" spans="1:16" x14ac:dyDescent="0.25">
      <c r="A3036" s="47">
        <f xml:space="preserve"> ROW( data_scaledImpacts[[#This Row],[row_id]] ) - ROW( data_scaledImpacts[[#Headers],[row_id]] )</f>
        <v>3035</v>
      </c>
      <c r="B3036" s="54" t="str">
        <f xml:space="preserve"> _xlfn.TEXTJOIN( "", , data_scaledImpacts[[#This Row],[sector]:[impactType]] )</f>
        <v>VibrioHadGEM2-ES4N/AMortality</v>
      </c>
      <c r="C3036" s="42" t="s">
        <v>1303</v>
      </c>
      <c r="D3036" s="42" t="s">
        <v>3</v>
      </c>
      <c r="E3036" s="43">
        <v>4</v>
      </c>
      <c r="F3036" s="43"/>
      <c r="G3036" s="43" t="s">
        <v>201</v>
      </c>
      <c r="H3036" s="17" t="s">
        <v>768</v>
      </c>
      <c r="I3036" s="57"/>
      <c r="J3036" s="126"/>
      <c r="K3036" s="17">
        <v>34.066886004545402</v>
      </c>
      <c r="L3036" s="46"/>
      <c r="M3036" s="17">
        <v>7.9931812645454503</v>
      </c>
      <c r="N3036" s="17">
        <v>83.807297030909098</v>
      </c>
      <c r="O3036" s="17">
        <v>15.642341009090901</v>
      </c>
      <c r="P3036" s="17">
        <v>5.4511311909090896</v>
      </c>
    </row>
    <row r="3037" spans="1:16" x14ac:dyDescent="0.25">
      <c r="A3037" s="47">
        <f xml:space="preserve"> ROW( data_scaledImpacts[[#This Row],[row_id]] ) - ROW( data_scaledImpacts[[#Headers],[row_id]] )</f>
        <v>3036</v>
      </c>
      <c r="B3037" s="54" t="str">
        <f xml:space="preserve"> _xlfn.TEXTJOIN( "", , data_scaledImpacts[[#This Row],[sector]:[impactType]] )</f>
        <v>VibrioHadGEM2-ES5N/AMortality</v>
      </c>
      <c r="C3037" s="42" t="s">
        <v>1303</v>
      </c>
      <c r="D3037" s="42" t="s">
        <v>3</v>
      </c>
      <c r="E3037" s="43">
        <v>5</v>
      </c>
      <c r="F3037" s="43"/>
      <c r="G3037" s="43" t="s">
        <v>201</v>
      </c>
      <c r="H3037" s="17" t="s">
        <v>768</v>
      </c>
      <c r="I3037" s="57"/>
      <c r="J3037" s="126"/>
      <c r="K3037" s="17">
        <v>46.0023281245454</v>
      </c>
      <c r="L3037" s="46"/>
      <c r="M3037" s="17">
        <v>11.6350734572727</v>
      </c>
      <c r="N3037" s="17">
        <v>103.651974238181</v>
      </c>
      <c r="O3037" s="17">
        <v>18.792105927272701</v>
      </c>
      <c r="P3037" s="17">
        <v>7.0874720681818104</v>
      </c>
    </row>
    <row r="3038" spans="1:16" x14ac:dyDescent="0.25">
      <c r="A3038" s="47">
        <f xml:space="preserve"> ROW( data_scaledImpacts[[#This Row],[row_id]] ) - ROW( data_scaledImpacts[[#Headers],[row_id]] )</f>
        <v>3037</v>
      </c>
      <c r="B3038" s="54" t="str">
        <f xml:space="preserve"> _xlfn.TEXTJOIN( "", , data_scaledImpacts[[#This Row],[sector]:[impactType]] )</f>
        <v>VibrioHadGEM2-ES6N/AMortality</v>
      </c>
      <c r="C3038" s="42" t="s">
        <v>1303</v>
      </c>
      <c r="D3038" s="42" t="s">
        <v>3</v>
      </c>
      <c r="E3038" s="43">
        <v>6</v>
      </c>
      <c r="F3038" s="43"/>
      <c r="G3038" s="43" t="s">
        <v>201</v>
      </c>
      <c r="H3038" s="17" t="s">
        <v>768</v>
      </c>
      <c r="I3038" s="57"/>
      <c r="J3038" s="126"/>
      <c r="K3038" s="17">
        <v>63.653768234545403</v>
      </c>
      <c r="L3038" s="46"/>
      <c r="M3038" s="17">
        <v>16.204560713636301</v>
      </c>
      <c r="N3038" s="17">
        <v>135.90339628454501</v>
      </c>
      <c r="O3038" s="17">
        <v>24.589269245454499</v>
      </c>
      <c r="P3038" s="17">
        <v>9.2942486745454502</v>
      </c>
    </row>
    <row r="3039" spans="1:16" x14ac:dyDescent="0.25">
      <c r="A3039" s="47">
        <f xml:space="preserve"> ROW( data_scaledImpacts[[#This Row],[row_id]] ) - ROW( data_scaledImpacts[[#Headers],[row_id]] )</f>
        <v>3038</v>
      </c>
      <c r="B3039" s="54" t="str">
        <f xml:space="preserve"> _xlfn.TEXTJOIN( "", , data_scaledImpacts[[#This Row],[sector]:[impactType]] )</f>
        <v>VibrioMIROC51N/AMortality</v>
      </c>
      <c r="C3039" s="42" t="s">
        <v>1303</v>
      </c>
      <c r="D3039" s="42" t="s">
        <v>4</v>
      </c>
      <c r="E3039" s="43">
        <v>1</v>
      </c>
      <c r="F3039" s="43"/>
      <c r="G3039" s="43" t="s">
        <v>201</v>
      </c>
      <c r="H3039" s="17" t="s">
        <v>768</v>
      </c>
      <c r="I3039" s="57"/>
      <c r="J3039" s="126"/>
      <c r="K3039" s="17">
        <v>4.7862238418181802</v>
      </c>
      <c r="L3039" s="46"/>
      <c r="M3039" s="17">
        <v>1.0986413190908999</v>
      </c>
      <c r="N3039" s="17">
        <v>14.990881435454501</v>
      </c>
      <c r="O3039" s="17">
        <v>3.2466868636363602</v>
      </c>
      <c r="P3039" s="17">
        <v>0.64862177909090901</v>
      </c>
    </row>
    <row r="3040" spans="1:16" x14ac:dyDescent="0.25">
      <c r="A3040" s="47">
        <f xml:space="preserve"> ROW( data_scaledImpacts[[#This Row],[row_id]] ) - ROW( data_scaledImpacts[[#Headers],[row_id]] )</f>
        <v>3039</v>
      </c>
      <c r="B3040" s="54" t="str">
        <f xml:space="preserve"> _xlfn.TEXTJOIN( "", , data_scaledImpacts[[#This Row],[sector]:[impactType]] )</f>
        <v>VibrioMIROC52N/AMortality</v>
      </c>
      <c r="C3040" s="42" t="s">
        <v>1303</v>
      </c>
      <c r="D3040" s="42" t="s">
        <v>4</v>
      </c>
      <c r="E3040" s="43">
        <v>2</v>
      </c>
      <c r="F3040" s="43"/>
      <c r="G3040" s="43" t="s">
        <v>201</v>
      </c>
      <c r="H3040" s="17" t="s">
        <v>768</v>
      </c>
      <c r="I3040" s="57"/>
      <c r="J3040" s="126"/>
      <c r="K3040" s="17">
        <v>12.095714554545401</v>
      </c>
      <c r="L3040" s="46"/>
      <c r="M3040" s="17">
        <v>1.8053961036363599</v>
      </c>
      <c r="N3040" s="17">
        <v>32.816930576363603</v>
      </c>
      <c r="O3040" s="17">
        <v>7.6394041272727202</v>
      </c>
      <c r="P3040" s="17">
        <v>1.6978055609090901</v>
      </c>
    </row>
    <row r="3041" spans="1:16" x14ac:dyDescent="0.25">
      <c r="A3041" s="47">
        <f xml:space="preserve"> ROW( data_scaledImpacts[[#This Row],[row_id]] ) - ROW( data_scaledImpacts[[#Headers],[row_id]] )</f>
        <v>3040</v>
      </c>
      <c r="B3041" s="54" t="str">
        <f xml:space="preserve"> _xlfn.TEXTJOIN( "", , data_scaledImpacts[[#This Row],[sector]:[impactType]] )</f>
        <v>VibrioMIROC53N/AMortality</v>
      </c>
      <c r="C3041" s="42" t="s">
        <v>1303</v>
      </c>
      <c r="D3041" s="42" t="s">
        <v>4</v>
      </c>
      <c r="E3041" s="43">
        <v>3</v>
      </c>
      <c r="F3041" s="43"/>
      <c r="G3041" s="43" t="s">
        <v>201</v>
      </c>
      <c r="H3041" s="17" t="s">
        <v>768</v>
      </c>
      <c r="I3041" s="57"/>
      <c r="J3041" s="126"/>
      <c r="K3041" s="17">
        <v>20.725390218181801</v>
      </c>
      <c r="L3041" s="46"/>
      <c r="M3041" s="17">
        <v>3.12650858363636</v>
      </c>
      <c r="N3041" s="17">
        <v>49.585915458181802</v>
      </c>
      <c r="O3041" s="17">
        <v>11.2782743999999</v>
      </c>
      <c r="P3041" s="17">
        <v>2.7092571836363599</v>
      </c>
    </row>
    <row r="3042" spans="1:16" x14ac:dyDescent="0.25">
      <c r="A3042" s="47">
        <f xml:space="preserve"> ROW( data_scaledImpacts[[#This Row],[row_id]] ) - ROW( data_scaledImpacts[[#Headers],[row_id]] )</f>
        <v>3041</v>
      </c>
      <c r="B3042" s="54" t="str">
        <f xml:space="preserve"> _xlfn.TEXTJOIN( "", , data_scaledImpacts[[#This Row],[sector]:[impactType]] )</f>
        <v>VibrioMIROC54N/AMortality</v>
      </c>
      <c r="C3042" s="42" t="s">
        <v>1303</v>
      </c>
      <c r="D3042" s="42" t="s">
        <v>4</v>
      </c>
      <c r="E3042" s="43">
        <v>4</v>
      </c>
      <c r="F3042" s="43"/>
      <c r="G3042" s="43" t="s">
        <v>201</v>
      </c>
      <c r="H3042" s="17" t="s">
        <v>768</v>
      </c>
      <c r="I3042" s="57"/>
      <c r="J3042" s="126"/>
      <c r="K3042" s="17">
        <v>32.283814938181798</v>
      </c>
      <c r="L3042" s="46"/>
      <c r="M3042" s="17">
        <v>5.4677074327272699</v>
      </c>
      <c r="N3042" s="17">
        <v>72.197141086363601</v>
      </c>
      <c r="O3042" s="17">
        <v>15.1533238545454</v>
      </c>
      <c r="P3042" s="17">
        <v>3.7665591909090899</v>
      </c>
    </row>
    <row r="3043" spans="1:16" x14ac:dyDescent="0.25">
      <c r="A3043" s="41">
        <f xml:space="preserve"> ROW( data_scaledImpacts[[#This Row],[row_id]] ) - ROW( data_scaledImpacts[[#Headers],[row_id]] )</f>
        <v>3042</v>
      </c>
      <c r="B3043" s="55" t="str">
        <f xml:space="preserve"> _xlfn.TEXTJOIN( "", , data_scaledImpacts[[#This Row],[sector]:[impactType]] )</f>
        <v>VibrioMIROC55N/AMortality</v>
      </c>
      <c r="C3043" s="48" t="s">
        <v>1303</v>
      </c>
      <c r="D3043" s="48" t="s">
        <v>4</v>
      </c>
      <c r="E3043" s="49">
        <v>5</v>
      </c>
      <c r="F3043" s="49"/>
      <c r="G3043" s="43" t="s">
        <v>201</v>
      </c>
      <c r="H3043" s="17" t="s">
        <v>768</v>
      </c>
      <c r="I3043" s="58"/>
      <c r="J3043" s="144"/>
      <c r="K3043" s="17">
        <v>39.093599829090898</v>
      </c>
      <c r="L3043" s="52"/>
      <c r="M3043" s="17">
        <v>7.3880697190909004</v>
      </c>
      <c r="N3043" s="17">
        <v>97.212348560909007</v>
      </c>
      <c r="O3043" s="17">
        <v>20.9652086636363</v>
      </c>
      <c r="P3043" s="17">
        <v>5.74244294818181</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1246</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2023-03-03T18:04:24Z</dcterms:modified>
</cp:coreProperties>
</file>