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1.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0" documentId="13_ncr:1_{724C9C0C-AAB7-4335-B813-2C864EBEE4EC}" xr6:coauthVersionLast="47" xr6:coauthVersionMax="47" xr10:uidLastSave="{00000000-0000-0000-0000-000000000000}"/>
  <bookViews>
    <workbookView xWindow="-28920" yWindow="-120" windowWidth="29040" windowHeight="157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scalarData!$E$1:$G$1490</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controlTables!$C$15</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controlTables!$D$20:$D$31</definedName>
    <definedName name="SectorDropDown_1">controlTables!$D$20:$D$36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43" l="1"/>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477" i="44"/>
  <c r="A1478" i="44"/>
  <c r="A1479" i="44"/>
  <c r="A1480" i="44"/>
  <c r="A1481" i="44"/>
  <c r="A1482" i="44"/>
  <c r="A1483" i="44"/>
  <c r="A1484" i="44"/>
  <c r="A1485" i="44"/>
  <c r="A1486" i="44"/>
  <c r="A1487" i="44"/>
  <c r="A1488" i="44"/>
  <c r="A1489" i="44"/>
  <c r="A1490" i="44"/>
  <c r="B1477" i="44"/>
  <c r="B1478" i="44"/>
  <c r="B1479" i="44"/>
  <c r="B1480" i="44"/>
  <c r="B1481" i="44"/>
  <c r="B1482" i="44"/>
  <c r="B1483" i="44"/>
  <c r="B1484" i="44"/>
  <c r="B1485" i="44"/>
  <c r="B1486" i="44"/>
  <c r="B1487" i="44"/>
  <c r="B1488" i="44"/>
  <c r="B1489" i="44"/>
  <c r="B1490" i="44"/>
  <c r="C1477" i="44"/>
  <c r="C1478" i="44"/>
  <c r="C1479" i="44"/>
  <c r="C1480" i="44"/>
  <c r="C1481" i="44"/>
  <c r="C1482" i="44"/>
  <c r="C1483" i="44"/>
  <c r="C1484" i="44"/>
  <c r="C1485" i="44"/>
  <c r="C1486" i="44"/>
  <c r="C1487" i="44"/>
  <c r="C1488" i="44"/>
  <c r="C1489" i="44"/>
  <c r="C1490" i="44"/>
  <c r="A1450" i="44"/>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4" i="24"/>
  <c r="K204" i="24" a="1"/>
  <c r="K204"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J21" i="43" a="1"/>
  <c r="C13" i="24"/>
  <c r="G21" i="43" a="1"/>
  <c r="H21" i="43"/>
  <c r="K21" i="43" a="1"/>
  <c r="K21" i="43" l="1"/>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3" i="24"/>
  <c r="K203" i="24" a="1"/>
  <c r="K203" i="24" s="1"/>
  <c r="B146" i="24"/>
  <c r="Q146" i="24"/>
  <c r="R146" i="24" a="1"/>
  <c r="R146" i="24" s="1"/>
  <c r="U146" i="24" a="1"/>
  <c r="U146" i="24" s="1"/>
  <c r="B63" i="24"/>
  <c r="D63" i="24" a="1"/>
  <c r="D63" i="24" s="1"/>
  <c r="N34" i="24" s="1" a="1"/>
  <c r="N34" i="24" s="1"/>
  <c r="E63" i="24" a="1"/>
  <c r="E63" i="24" s="1"/>
  <c r="F63" i="24" a="1"/>
  <c r="F63" i="24" s="1"/>
  <c r="B34" i="24"/>
  <c r="L34" i="24" a="1"/>
  <c r="L34" i="24" s="1"/>
  <c r="M34" i="24" a="1"/>
  <c r="M34" i="24" s="1"/>
  <c r="P34" i="24" a="1"/>
  <c r="P34" i="24" s="1"/>
  <c r="B107" i="24"/>
  <c r="I107" i="24"/>
  <c r="J107" i="24" a="1"/>
  <c r="J107" i="24" s="1"/>
  <c r="K107" i="24" a="1"/>
  <c r="K107" i="24" s="1"/>
  <c r="J34" i="24"/>
  <c r="L21" i="43" l="1"/>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8" i="24" l="1"/>
  <c r="Q158" i="24"/>
  <c r="R158" i="24" a="1"/>
  <c r="R158" i="24" s="1"/>
  <c r="U158" i="24" a="1"/>
  <c r="U158" i="24" s="1"/>
  <c r="B159" i="24"/>
  <c r="Q159" i="24"/>
  <c r="R159" i="24" a="1"/>
  <c r="R159" i="24" s="1"/>
  <c r="U159" i="24" a="1"/>
  <c r="U159" i="24" s="1"/>
  <c r="B160" i="24"/>
  <c r="Q160" i="24"/>
  <c r="R160" i="24" a="1"/>
  <c r="R160" i="24" s="1"/>
  <c r="U160" i="24" a="1"/>
  <c r="U160" i="24" s="1"/>
  <c r="B117" i="24"/>
  <c r="I117" i="24"/>
  <c r="J117" i="24" a="1"/>
  <c r="J117" i="24" s="1"/>
  <c r="K117" i="24" a="1"/>
  <c r="K117" i="24" s="1"/>
  <c r="B69" i="24"/>
  <c r="D69" i="24" a="1"/>
  <c r="D69" i="24" s="1"/>
  <c r="N40" i="24" s="1" a="1"/>
  <c r="N40" i="24" s="1"/>
  <c r="E69" i="24" a="1"/>
  <c r="E69" i="24" s="1"/>
  <c r="F69" i="24" a="1"/>
  <c r="F69" i="24" s="1"/>
  <c r="B40" i="24"/>
  <c r="L40" i="24" a="1"/>
  <c r="L40" i="24" s="1"/>
  <c r="M40" i="24" a="1"/>
  <c r="M40" i="24" s="1"/>
  <c r="P40" i="24" a="1"/>
  <c r="P40" i="24" s="1"/>
  <c r="B39" i="24"/>
  <c r="J40"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G20" i="43" a="1"/>
  <c r="K20" i="43" a="1"/>
  <c r="G20" i="43" l="1"/>
  <c r="K20" i="43"/>
  <c r="L22" i="24" a="1"/>
  <c r="L22" i="24" s="1"/>
  <c r="B90" i="24"/>
  <c r="I90" i="24"/>
  <c r="J90" i="24" a="1"/>
  <c r="J90" i="24" s="1"/>
  <c r="K90" i="24" a="1"/>
  <c r="K90" i="24" s="1"/>
  <c r="B91" i="24"/>
  <c r="I91" i="24"/>
  <c r="J91" i="24" a="1"/>
  <c r="J91" i="24" s="1"/>
  <c r="K91" i="24" a="1"/>
  <c r="K91"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6" i="24" a="1"/>
  <c r="K86" i="24" s="1"/>
  <c r="K87" i="24" a="1"/>
  <c r="K87" i="24" s="1"/>
  <c r="K80" i="24" a="1"/>
  <c r="K80" i="24" s="1"/>
  <c r="K81" i="24" a="1"/>
  <c r="K81" i="24" s="1"/>
  <c r="K82" i="24" a="1"/>
  <c r="K82" i="24" s="1"/>
  <c r="K89" i="24" a="1"/>
  <c r="K89" i="24" s="1"/>
  <c r="K92" i="24" a="1"/>
  <c r="K92" i="24" s="1"/>
  <c r="K93" i="24" a="1"/>
  <c r="K93" i="24" s="1"/>
  <c r="K94" i="24" a="1"/>
  <c r="K94" i="24" s="1"/>
  <c r="K95" i="24" a="1"/>
  <c r="K95" i="24" s="1"/>
  <c r="K96" i="24" a="1"/>
  <c r="K96" i="24" s="1"/>
  <c r="K97" i="24" a="1"/>
  <c r="K97" i="24" s="1"/>
  <c r="K98" i="24" a="1"/>
  <c r="K98" i="24" s="1"/>
  <c r="K99" i="24" a="1"/>
  <c r="K99" i="24" s="1"/>
  <c r="K100" i="24" a="1"/>
  <c r="K100" i="24" s="1"/>
  <c r="K83" i="24" a="1"/>
  <c r="K83" i="24" s="1"/>
  <c r="K84" i="24" a="1"/>
  <c r="K84" i="24" s="1"/>
  <c r="K85" i="24" a="1"/>
  <c r="K85" i="24" s="1"/>
  <c r="K101" i="24" a="1"/>
  <c r="K101" i="24" s="1"/>
  <c r="K102" i="24" a="1"/>
  <c r="K102" i="24" s="1"/>
  <c r="K103" i="24" a="1"/>
  <c r="K103" i="24" s="1"/>
  <c r="K104" i="24" a="1"/>
  <c r="K104" i="24" s="1"/>
  <c r="K105" i="24" a="1"/>
  <c r="K105" i="24" s="1"/>
  <c r="K106" i="24" a="1"/>
  <c r="K106" i="24" s="1"/>
  <c r="K108" i="24" a="1"/>
  <c r="K108" i="24" s="1"/>
  <c r="K109" i="24" a="1"/>
  <c r="K109" i="24" s="1"/>
  <c r="K110" i="24" a="1"/>
  <c r="K110" i="24" s="1"/>
  <c r="K111" i="24" a="1"/>
  <c r="K111" i="24" s="1"/>
  <c r="K112" i="24" a="1"/>
  <c r="K112" i="24" s="1"/>
  <c r="K113" i="24" a="1"/>
  <c r="K113" i="24" s="1"/>
  <c r="K114" i="24" a="1"/>
  <c r="K114" i="24" s="1"/>
  <c r="K115" i="24" a="1"/>
  <c r="K115" i="24" s="1"/>
  <c r="K116" i="24" a="1"/>
  <c r="K116" i="24" s="1"/>
  <c r="K118" i="24" a="1"/>
  <c r="K118" i="24" s="1"/>
  <c r="K119" i="24" a="1"/>
  <c r="K119" i="24" s="1"/>
  <c r="K120" i="24" a="1"/>
  <c r="K120" i="24" s="1"/>
  <c r="K121" i="24" a="1"/>
  <c r="K121" i="24" s="1"/>
  <c r="K88" i="24" a="1"/>
  <c r="K88" i="24" s="1"/>
  <c r="B23" i="24"/>
  <c r="B20" i="24"/>
  <c r="B21" i="24"/>
  <c r="B25" i="24"/>
  <c r="B26" i="24"/>
  <c r="B27" i="24"/>
  <c r="B28" i="24"/>
  <c r="B29" i="24"/>
  <c r="B22" i="24"/>
  <c r="B30" i="24"/>
  <c r="B31" i="24"/>
  <c r="B32" i="24"/>
  <c r="B33" i="24"/>
  <c r="B35" i="24"/>
  <c r="B36" i="24"/>
  <c r="B37" i="24"/>
  <c r="B38" i="24"/>
  <c r="B41" i="24"/>
  <c r="B42" i="24"/>
  <c r="B43" i="24"/>
  <c r="B44" i="24"/>
  <c r="B24" i="24"/>
  <c r="B129" i="24"/>
  <c r="Q129" i="24"/>
  <c r="R129" i="24" a="1"/>
  <c r="R129" i="24" s="1"/>
  <c r="U129" i="24" a="1"/>
  <c r="U129" i="24" s="1"/>
  <c r="I83" i="24"/>
  <c r="I84" i="24"/>
  <c r="I85" i="24"/>
  <c r="B83" i="24"/>
  <c r="J83" i="24" a="1"/>
  <c r="J83" i="24" s="1"/>
  <c r="B84" i="24"/>
  <c r="J84" i="24" a="1"/>
  <c r="J84" i="24" s="1"/>
  <c r="B85" i="24"/>
  <c r="J85" i="24" a="1"/>
  <c r="J85" i="24" s="1"/>
  <c r="B51" i="24"/>
  <c r="D51" i="24" a="1"/>
  <c r="D51" i="24" s="1"/>
  <c r="N22" i="24" s="1" a="1"/>
  <c r="N22" i="24" s="1"/>
  <c r="E51" i="24" a="1"/>
  <c r="E51" i="24" s="1"/>
  <c r="F51" i="24" a="1"/>
  <c r="F51" i="24" s="1"/>
  <c r="M22" i="24" a="1"/>
  <c r="M22" i="24" s="1"/>
  <c r="P22" i="24" a="1"/>
  <c r="P22"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2" i="24"/>
  <c r="H20" i="43"/>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8" i="24"/>
  <c r="K188" i="24" a="1"/>
  <c r="K188" i="24" s="1"/>
  <c r="B186" i="24"/>
  <c r="K186" i="24" a="1"/>
  <c r="K186" i="24" s="1"/>
  <c r="B135" i="24"/>
  <c r="Q135" i="24"/>
  <c r="R135" i="24" a="1"/>
  <c r="R135" i="24" s="1"/>
  <c r="S135" i="24" a="1"/>
  <c r="S135" i="24" s="1"/>
  <c r="U135" i="24" a="1"/>
  <c r="U135" i="24" s="1"/>
  <c r="B134" i="24"/>
  <c r="Q134" i="24"/>
  <c r="R134" i="24" a="1"/>
  <c r="R134" i="24" s="1"/>
  <c r="U134" i="24" a="1"/>
  <c r="U134" i="24" s="1"/>
  <c r="B88" i="24"/>
  <c r="I88" i="24"/>
  <c r="J88" i="24" a="1"/>
  <c r="J88" i="24" s="1"/>
  <c r="B53" i="24"/>
  <c r="D53" i="24" a="1"/>
  <c r="D53" i="24" s="1"/>
  <c r="E53" i="24" a="1"/>
  <c r="E53" i="24" s="1"/>
  <c r="F53" i="24" a="1"/>
  <c r="F53" i="24" s="1"/>
  <c r="J24" i="24"/>
  <c r="C4" i="24"/>
  <c r="L24" i="24" l="1" a="1"/>
  <c r="L24" i="24" s="1"/>
  <c r="M24" i="24" a="1"/>
  <c r="M24" i="24" s="1"/>
  <c r="N24" i="24" a="1"/>
  <c r="N24" i="24" s="1"/>
  <c r="P24" i="24" a="1"/>
  <c r="P24"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3" i="24" a="1"/>
  <c r="L33" i="24" s="1"/>
  <c r="M33" i="24" a="1"/>
  <c r="M33" i="24" s="1"/>
  <c r="P33" i="24" a="1"/>
  <c r="P33" i="24" s="1"/>
  <c r="L23" i="24" a="1"/>
  <c r="L23" i="24" s="1"/>
  <c r="M23" i="24" a="1"/>
  <c r="M23" i="24" s="1"/>
  <c r="P23" i="24" a="1"/>
  <c r="P23" i="24" s="1"/>
  <c r="R126" i="24" a="1"/>
  <c r="R126" i="24" s="1"/>
  <c r="R127" i="24" a="1"/>
  <c r="R127" i="24" s="1"/>
  <c r="R128" i="24" a="1"/>
  <c r="R128" i="24" s="1"/>
  <c r="R137" i="24" a="1"/>
  <c r="R137" i="24" s="1"/>
  <c r="R138" i="24" a="1"/>
  <c r="R138" i="24" s="1"/>
  <c r="R139" i="24" a="1"/>
  <c r="R139" i="24" s="1"/>
  <c r="R140" i="24" a="1"/>
  <c r="R140" i="24" s="1"/>
  <c r="R141" i="24" a="1"/>
  <c r="R141" i="24" s="1"/>
  <c r="R142" i="24" a="1"/>
  <c r="R142" i="24" s="1"/>
  <c r="R143" i="24" a="1"/>
  <c r="R143" i="24" s="1"/>
  <c r="R144" i="24" a="1"/>
  <c r="R144" i="24" s="1"/>
  <c r="R147" i="24" a="1"/>
  <c r="R147" i="24" s="1"/>
  <c r="R148" i="24" a="1"/>
  <c r="R148" i="24" s="1"/>
  <c r="R149" i="24" a="1"/>
  <c r="R149" i="24" s="1"/>
  <c r="R150" i="24" a="1"/>
  <c r="R150" i="24" s="1"/>
  <c r="R151" i="24" a="1"/>
  <c r="R151" i="24" s="1"/>
  <c r="R152" i="24" a="1"/>
  <c r="R152" i="24" s="1"/>
  <c r="R153" i="24" a="1"/>
  <c r="R153" i="24" s="1"/>
  <c r="R154" i="24" a="1"/>
  <c r="R154" i="24" s="1"/>
  <c r="R157" i="24" a="1"/>
  <c r="R157" i="24" s="1"/>
  <c r="R156" i="24" a="1"/>
  <c r="R156" i="24" s="1"/>
  <c r="R155" i="24" a="1"/>
  <c r="R155" i="24" s="1"/>
  <c r="R161" i="24" a="1"/>
  <c r="R161" i="24" s="1"/>
  <c r="R162" i="24" a="1"/>
  <c r="R162" i="24" s="1"/>
  <c r="R163" i="24" a="1"/>
  <c r="R163" i="24" s="1"/>
  <c r="R164" i="24" a="1"/>
  <c r="R164" i="24" s="1"/>
  <c r="R165" i="24" a="1"/>
  <c r="R165" i="24" s="1"/>
  <c r="R166" i="24" a="1"/>
  <c r="R166" i="24" s="1"/>
  <c r="R167" i="24" a="1"/>
  <c r="R167" i="24" s="1"/>
  <c r="R168" i="24" a="1"/>
  <c r="R168" i="24" s="1"/>
  <c r="R136" i="24" a="1"/>
  <c r="R136" i="24" s="1"/>
  <c r="R145" i="24" a="1"/>
  <c r="R145" i="24" s="1"/>
  <c r="R130" i="24" a="1"/>
  <c r="R130" i="24" s="1"/>
  <c r="R131" i="24" a="1"/>
  <c r="R131" i="24" s="1"/>
  <c r="R132" i="24" a="1"/>
  <c r="R132" i="24" s="1"/>
  <c r="R133" i="24" a="1"/>
  <c r="R133" i="24" s="1"/>
  <c r="Q130" i="24"/>
  <c r="Q131" i="24"/>
  <c r="Q132" i="24"/>
  <c r="Q133" i="24"/>
  <c r="S130" i="24" a="1"/>
  <c r="S130" i="24" s="1"/>
  <c r="S131" i="24" a="1"/>
  <c r="S131" i="24" s="1"/>
  <c r="S132" i="24" a="1"/>
  <c r="S132" i="24" s="1"/>
  <c r="S133" i="24" a="1"/>
  <c r="S133" i="24" s="1"/>
  <c r="T130" i="24" a="1"/>
  <c r="T130" i="24" s="1"/>
  <c r="T131" i="24" a="1"/>
  <c r="T131" i="24" s="1"/>
  <c r="T132" i="24" a="1"/>
  <c r="T132" i="24" s="1"/>
  <c r="T133" i="24" a="1"/>
  <c r="T133" i="24" s="1"/>
  <c r="U130" i="24" a="1"/>
  <c r="U130" i="24" s="1"/>
  <c r="U131" i="24" a="1"/>
  <c r="U131" i="24" s="1"/>
  <c r="U132" i="24" a="1"/>
  <c r="U132" i="24" s="1"/>
  <c r="U133" i="24" a="1"/>
  <c r="U133" i="24" s="1"/>
  <c r="B130" i="24"/>
  <c r="B131" i="24"/>
  <c r="B132" i="24"/>
  <c r="B133" i="24"/>
  <c r="B87" i="24"/>
  <c r="I87" i="24"/>
  <c r="J87" i="24" a="1"/>
  <c r="J87" i="24" s="1"/>
  <c r="I86" i="24"/>
  <c r="J86" i="24" a="1"/>
  <c r="J86" i="24" s="1"/>
  <c r="B86" i="24"/>
  <c r="B52" i="24"/>
  <c r="D52" i="24" a="1"/>
  <c r="D52" i="24" s="1"/>
  <c r="N23" i="24" s="1" a="1"/>
  <c r="N23" i="24" s="1"/>
  <c r="E52" i="24" a="1"/>
  <c r="E52" i="24" s="1"/>
  <c r="F52" i="24" a="1"/>
  <c r="F52"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6" i="24"/>
  <c r="Q136" i="24"/>
  <c r="U136" i="24" a="1"/>
  <c r="U136" i="24" s="1"/>
  <c r="I106" i="24"/>
  <c r="B89" i="24"/>
  <c r="I89" i="24"/>
  <c r="J89" i="24" a="1"/>
  <c r="J89" i="24" s="1"/>
  <c r="D62" i="24" a="1"/>
  <c r="D62" i="24" s="1"/>
  <c r="E62" i="24" a="1"/>
  <c r="E62" i="24" s="1"/>
  <c r="F62" i="24" a="1"/>
  <c r="F62" i="24" s="1"/>
  <c r="B54" i="24"/>
  <c r="B6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6" i="24"/>
  <c r="B145" i="24"/>
  <c r="Q145" i="24"/>
  <c r="S145" i="24" a="1"/>
  <c r="S145" i="24" s="1"/>
  <c r="U145" i="24" a="1"/>
  <c r="U145" i="24" s="1"/>
  <c r="J106" i="24" a="1"/>
  <c r="J106" i="24" s="1"/>
  <c r="D54" i="24" a="1"/>
  <c r="D54" i="24" s="1"/>
  <c r="N25" i="24" s="1" a="1"/>
  <c r="N25" i="24" s="1"/>
  <c r="E54" i="24" a="1"/>
  <c r="E54" i="24" s="1"/>
  <c r="F54" i="24" a="1"/>
  <c r="F54" i="24" s="1"/>
  <c r="L25" i="24" a="1"/>
  <c r="L25" i="24" s="1"/>
  <c r="M25" i="24" a="1"/>
  <c r="M25" i="24" s="1"/>
  <c r="P25" i="24" a="1"/>
  <c r="P25"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25" i="24"/>
  <c r="J23" i="24"/>
  <c r="K18" i="43" a="1"/>
  <c r="K8" i="43" a="1"/>
  <c r="J33" i="24"/>
  <c r="K19" i="43" a="1"/>
  <c r="G18" i="43" a="1"/>
  <c r="G19" i="43" a="1"/>
  <c r="H8" i="43"/>
  <c r="N33" i="24" l="1" a="1"/>
  <c r="N33" i="24" s="1"/>
  <c r="G19" i="43"/>
  <c r="K19" i="43"/>
  <c r="G18" i="43"/>
  <c r="K18" i="43"/>
  <c r="K8" i="43"/>
  <c r="G8" i="43" a="1"/>
  <c r="J8" i="43" a="1"/>
  <c r="J18" i="43" a="1"/>
  <c r="H18" i="43"/>
  <c r="J19" i="43" a="1"/>
  <c r="H19" i="43"/>
  <c r="J8" i="43" l="1"/>
  <c r="L8" i="43" s="1"/>
  <c r="I18" i="43"/>
  <c r="I19" i="43"/>
  <c r="G8" i="43"/>
  <c r="I8" i="43" s="1"/>
  <c r="J19" i="43"/>
  <c r="L19" i="43" s="1"/>
  <c r="J18" i="43"/>
  <c r="L18" i="43" s="1"/>
  <c r="P43" i="24" a="1"/>
  <c r="P43" i="24" s="1"/>
  <c r="M43" i="24" a="1"/>
  <c r="M43" i="24" s="1"/>
  <c r="L43" i="24" a="1"/>
  <c r="L43" i="24" s="1"/>
  <c r="B239" i="24"/>
  <c r="E239" i="24"/>
  <c r="F239" i="24" s="1"/>
  <c r="B165" i="24"/>
  <c r="Q165" i="24"/>
  <c r="U165" i="24" a="1"/>
  <c r="U165" i="24" s="1"/>
  <c r="B120" i="24"/>
  <c r="I120" i="24"/>
  <c r="J120" i="24" a="1"/>
  <c r="J120" i="24" s="1"/>
  <c r="B72" i="24"/>
  <c r="D72" i="24" a="1"/>
  <c r="D72" i="24" s="1"/>
  <c r="N43" i="24" s="1" a="1"/>
  <c r="N43" i="24" s="1"/>
  <c r="E72" i="24" a="1"/>
  <c r="E72" i="24" s="1"/>
  <c r="F72" i="24" a="1"/>
  <c r="F72"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3" i="24"/>
  <c r="G239" i="24" l="1"/>
  <c r="P31" i="24" l="1" a="1"/>
  <c r="P31" i="24" s="1"/>
  <c r="M31" i="24" a="1"/>
  <c r="M31" i="24" s="1"/>
  <c r="M32" i="24" a="1"/>
  <c r="M32" i="24" s="1"/>
  <c r="M35" i="24" a="1"/>
  <c r="M35" i="24" s="1"/>
  <c r="M36" i="24" a="1"/>
  <c r="M36" i="24" s="1"/>
  <c r="M37" i="24" a="1"/>
  <c r="M37" i="24" s="1"/>
  <c r="M38" i="24" a="1"/>
  <c r="M38" i="24" s="1"/>
  <c r="M39" i="24" a="1"/>
  <c r="M39" i="24" s="1"/>
  <c r="M41" i="24" a="1"/>
  <c r="M41" i="24" s="1"/>
  <c r="M42" i="24" a="1"/>
  <c r="M42" i="24" s="1"/>
  <c r="M44" i="24" a="1"/>
  <c r="M44" i="24" s="1"/>
  <c r="L31" i="24" a="1"/>
  <c r="L31" i="24" s="1"/>
  <c r="B240" i="24"/>
  <c r="E240" i="24"/>
  <c r="F240" i="24" s="1"/>
  <c r="B143" i="24"/>
  <c r="Q143" i="24"/>
  <c r="U143" i="24" a="1"/>
  <c r="U143" i="24" s="1"/>
  <c r="B104" i="24"/>
  <c r="I104" i="24"/>
  <c r="J104" i="24" a="1"/>
  <c r="J104" i="24" s="1"/>
  <c r="B60" i="24"/>
  <c r="D60" i="24" a="1"/>
  <c r="D60" i="24" s="1"/>
  <c r="N31" i="24" s="1" a="1"/>
  <c r="N31" i="24" s="1"/>
  <c r="E60" i="24" a="1"/>
  <c r="E60" i="24" s="1"/>
  <c r="F60" i="24" a="1"/>
  <c r="F60" i="24" s="1"/>
  <c r="B2325" i="25"/>
  <c r="B2326" i="25"/>
  <c r="B2327" i="25"/>
  <c r="B2328" i="25"/>
  <c r="B2329" i="25"/>
  <c r="B2330" i="25"/>
  <c r="A2325" i="25"/>
  <c r="A2326" i="25"/>
  <c r="A2327" i="25"/>
  <c r="A2328" i="25"/>
  <c r="A2329" i="25"/>
  <c r="A2330" i="25"/>
  <c r="A2324" i="25"/>
  <c r="B2324" i="25"/>
  <c r="J31" i="24"/>
  <c r="G240" i="24" l="1"/>
  <c r="F264" i="24" l="1"/>
  <c r="F265" i="24"/>
  <c r="F266" i="24"/>
  <c r="F267" i="24"/>
  <c r="G264" i="24"/>
  <c r="G265" i="24"/>
  <c r="G266" i="24"/>
  <c r="G267" i="24"/>
  <c r="B17" i="43"/>
  <c r="F17" i="43"/>
  <c r="J264" i="24"/>
  <c r="J265" i="24"/>
  <c r="J266" i="24"/>
  <c r="J267" i="24"/>
  <c r="B267" i="24"/>
  <c r="B266" i="24"/>
  <c r="B265" i="24"/>
  <c r="B264" i="24"/>
  <c r="K17" i="43" a="1"/>
  <c r="C7" i="24"/>
  <c r="C9" i="24"/>
  <c r="C6" i="24"/>
  <c r="C3" i="24"/>
  <c r="C8" i="24"/>
  <c r="C12" i="24"/>
  <c r="C11" i="24"/>
  <c r="G17" i="43" a="1"/>
  <c r="C10" i="24"/>
  <c r="K17" i="43" l="1"/>
  <c r="G17" i="43"/>
  <c r="C2" i="24"/>
  <c r="J17" i="43" a="1"/>
  <c r="H17" i="43"/>
  <c r="I17" i="43" l="1"/>
  <c r="J17" i="43"/>
  <c r="L17" i="43" s="1"/>
  <c r="U126" i="24" l="1" a="1"/>
  <c r="U126" i="24" s="1"/>
  <c r="U127" i="24" a="1"/>
  <c r="U127" i="24" s="1"/>
  <c r="U137" i="24" a="1"/>
  <c r="U137" i="24" s="1"/>
  <c r="U138" i="24" a="1"/>
  <c r="U138" i="24" s="1"/>
  <c r="U139" i="24" a="1"/>
  <c r="U139" i="24" s="1"/>
  <c r="U140" i="24" a="1"/>
  <c r="U140" i="24" s="1"/>
  <c r="U141" i="24" a="1"/>
  <c r="U141" i="24" s="1"/>
  <c r="U142" i="24" a="1"/>
  <c r="U142" i="24" s="1"/>
  <c r="U149" i="24" a="1"/>
  <c r="U149" i="24" s="1"/>
  <c r="U150" i="24" a="1"/>
  <c r="U150" i="24" s="1"/>
  <c r="U151" i="24" a="1"/>
  <c r="U151" i="24" s="1"/>
  <c r="U152" i="24" a="1"/>
  <c r="U152" i="24" s="1"/>
  <c r="U153" i="24" a="1"/>
  <c r="U153" i="24" s="1"/>
  <c r="U154" i="24" a="1"/>
  <c r="U154" i="24" s="1"/>
  <c r="U157" i="24" a="1"/>
  <c r="U157" i="24" s="1"/>
  <c r="U156" i="24" a="1"/>
  <c r="U156" i="24" s="1"/>
  <c r="U155" i="24" a="1"/>
  <c r="U155" i="24" s="1"/>
  <c r="U161" i="24" a="1"/>
  <c r="U161" i="24" s="1"/>
  <c r="U162" i="24" a="1"/>
  <c r="U162" i="24" s="1"/>
  <c r="U163" i="24" a="1"/>
  <c r="U163" i="24" s="1"/>
  <c r="U164" i="24" a="1"/>
  <c r="U164" i="24" s="1"/>
  <c r="U166" i="24" a="1"/>
  <c r="U166" i="24" s="1"/>
  <c r="U167" i="24" a="1"/>
  <c r="U167" i="24" s="1"/>
  <c r="U168" i="24" a="1"/>
  <c r="U168" i="24" s="1"/>
  <c r="S126" i="24" a="1"/>
  <c r="S126" i="24" s="1"/>
  <c r="S127" i="24" a="1"/>
  <c r="S127" i="24" s="1"/>
  <c r="S128" i="24" a="1"/>
  <c r="S128" i="24" s="1"/>
  <c r="S137" i="24" a="1"/>
  <c r="S137" i="24" s="1"/>
  <c r="S140" i="24" a="1"/>
  <c r="S140" i="24" s="1"/>
  <c r="S141" i="24" a="1"/>
  <c r="S141" i="24" s="1"/>
  <c r="S142" i="24" a="1"/>
  <c r="S142" i="24" s="1"/>
  <c r="S144" i="24" a="1"/>
  <c r="S144" i="24" s="1"/>
  <c r="S149" i="24" a="1"/>
  <c r="S149" i="24" s="1"/>
  <c r="S150" i="24" a="1"/>
  <c r="S150" i="24" s="1"/>
  <c r="S151" i="24" a="1"/>
  <c r="S151" i="24" s="1"/>
  <c r="S152" i="24" a="1"/>
  <c r="S152" i="24" s="1"/>
  <c r="S153" i="24" a="1"/>
  <c r="S153" i="24" s="1"/>
  <c r="S154" i="24" a="1"/>
  <c r="S154" i="24" s="1"/>
  <c r="S157" i="24" a="1"/>
  <c r="S157" i="24" s="1"/>
  <c r="S156" i="24" a="1"/>
  <c r="S156" i="24" s="1"/>
  <c r="S155" i="24" a="1"/>
  <c r="S155" i="24" s="1"/>
  <c r="S161" i="24" a="1"/>
  <c r="S161" i="24" s="1"/>
  <c r="S162" i="24" a="1"/>
  <c r="S162" i="24" s="1"/>
  <c r="S163" i="24" a="1"/>
  <c r="S163" i="24" s="1"/>
  <c r="S164" i="24" a="1"/>
  <c r="S164" i="24" s="1"/>
  <c r="S166" i="24" a="1"/>
  <c r="S166" i="24" s="1"/>
  <c r="S167" i="24" a="1"/>
  <c r="S167" i="24" s="1"/>
  <c r="S168" i="24" a="1"/>
  <c r="S168" i="24" s="1"/>
  <c r="T128" i="24" a="1"/>
  <c r="T128" i="24" s="1"/>
  <c r="T137" i="24" a="1"/>
  <c r="T137" i="24" s="1"/>
  <c r="T138" i="24" a="1"/>
  <c r="T138" i="24" s="1"/>
  <c r="T139" i="24" a="1"/>
  <c r="T139" i="24" s="1"/>
  <c r="T142" i="24" a="1"/>
  <c r="T142" i="24" s="1"/>
  <c r="T147" i="24" a="1"/>
  <c r="T147" i="24" s="1"/>
  <c r="T148" i="24" a="1"/>
  <c r="T148" i="24" s="1"/>
  <c r="T154" i="24" a="1"/>
  <c r="T154" i="24" s="1"/>
  <c r="T161" i="24" a="1"/>
  <c r="T161" i="24" s="1"/>
  <c r="T162" i="24" a="1"/>
  <c r="T162" i="24" s="1"/>
  <c r="T166" i="24" a="1"/>
  <c r="T166" i="24" s="1"/>
  <c r="T167" i="24" a="1"/>
  <c r="T167" i="24" s="1"/>
  <c r="T168" i="24" a="1"/>
  <c r="T168" i="24" s="1"/>
  <c r="K189" i="24" a="1"/>
  <c r="K189" i="24" s="1"/>
  <c r="K181" i="24" a="1"/>
  <c r="K181" i="24" s="1"/>
  <c r="K174" i="24" a="1"/>
  <c r="K174"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8" i="24" a="1"/>
  <c r="K178" i="24" s="1"/>
  <c r="K175" i="24" a="1"/>
  <c r="K175" i="24" s="1"/>
  <c r="K177" i="24" a="1"/>
  <c r="K177" i="24" s="1"/>
  <c r="K176" i="24" a="1"/>
  <c r="K176" i="24" s="1"/>
  <c r="K195" i="24" a="1"/>
  <c r="K195" i="24" s="1"/>
  <c r="K194" i="24" a="1"/>
  <c r="K194" i="24" s="1"/>
  <c r="K196" i="24" a="1"/>
  <c r="K196" i="24" s="1"/>
  <c r="K197" i="24" a="1"/>
  <c r="K19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7" i="24"/>
  <c r="B128" i="24"/>
  <c r="Q128" i="24"/>
  <c r="B50" i="24"/>
  <c r="D50" i="24" a="1"/>
  <c r="D50" i="24" s="1"/>
  <c r="N21" i="24" s="1" a="1"/>
  <c r="N21" i="24" s="1"/>
  <c r="E50" i="24" a="1"/>
  <c r="E50" i="24" s="1"/>
  <c r="F50" i="24" a="1"/>
  <c r="F50" i="24" s="1"/>
  <c r="B82" i="24"/>
  <c r="I82" i="24"/>
  <c r="J82" i="24" a="1"/>
  <c r="J82" i="24" s="1"/>
  <c r="L21" i="24" a="1"/>
  <c r="L21" i="24" s="1"/>
  <c r="M21" i="24" a="1"/>
  <c r="M21" i="24" s="1"/>
  <c r="P21" i="24" a="1"/>
  <c r="P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1" i="24"/>
  <c r="G233" i="24" l="1"/>
  <c r="G234" i="24"/>
  <c r="G235" i="24"/>
  <c r="G236" i="24"/>
  <c r="G237" i="24"/>
  <c r="G238" i="24"/>
  <c r="E233" i="24"/>
  <c r="E234" i="24"/>
  <c r="E235" i="24"/>
  <c r="E236" i="24"/>
  <c r="E237" i="24"/>
  <c r="E238" i="24"/>
  <c r="E241" i="24"/>
  <c r="G241" i="24" s="1"/>
  <c r="E242" i="24"/>
  <c r="G242" i="24" s="1"/>
  <c r="E243" i="24"/>
  <c r="G243" i="24" s="1"/>
  <c r="E244" i="24"/>
  <c r="G244" i="24" s="1"/>
  <c r="E245" i="24"/>
  <c r="G245" i="24" s="1"/>
  <c r="E246" i="24"/>
  <c r="G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8" i="24" l="1"/>
  <c r="D68" i="24" a="1"/>
  <c r="D68" i="24" s="1"/>
  <c r="N39" i="24" s="1" a="1"/>
  <c r="N39" i="24" s="1"/>
  <c r="E68" i="24" a="1"/>
  <c r="E68" i="24" s="1"/>
  <c r="F68" i="24" a="1"/>
  <c r="F68" i="24" s="1"/>
  <c r="A818" i="44"/>
  <c r="B818" i="44"/>
  <c r="C818" i="44"/>
  <c r="A819" i="44"/>
  <c r="B819" i="44"/>
  <c r="C819" i="44"/>
  <c r="B180" i="24"/>
  <c r="B187" i="24"/>
  <c r="A815" i="44"/>
  <c r="A816" i="44"/>
  <c r="A817" i="44"/>
  <c r="B815" i="44"/>
  <c r="B816" i="44"/>
  <c r="B817" i="44"/>
  <c r="C815" i="44"/>
  <c r="C816" i="44"/>
  <c r="C817" i="44"/>
  <c r="B156" i="24"/>
  <c r="B155" i="24"/>
  <c r="Q156" i="24"/>
  <c r="Q155" i="24"/>
  <c r="B195" i="24"/>
  <c r="B194" i="24"/>
  <c r="B196" i="24"/>
  <c r="B157" i="24"/>
  <c r="Q157" i="24"/>
  <c r="L39" i="24" a="1"/>
  <c r="L39" i="24" s="1"/>
  <c r="P39" i="24" a="1"/>
  <c r="P39" i="24" s="1"/>
  <c r="B116" i="24"/>
  <c r="I116" i="24"/>
  <c r="J116" i="24" a="1"/>
  <c r="J116"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39" i="24"/>
  <c r="Q163" i="24" l="1"/>
  <c r="P20" i="24" l="1" a="1"/>
  <c r="P20" i="24" s="1"/>
  <c r="P26" i="24" a="1"/>
  <c r="P26" i="24" s="1"/>
  <c r="P27" i="24" a="1"/>
  <c r="P27" i="24" s="1"/>
  <c r="P29" i="24" a="1"/>
  <c r="P29" i="24" s="1"/>
  <c r="P28" i="24" a="1"/>
  <c r="P28" i="24" s="1"/>
  <c r="P30" i="24" a="1"/>
  <c r="P30" i="24" s="1"/>
  <c r="P32" i="24" a="1"/>
  <c r="P32" i="24" s="1"/>
  <c r="P35" i="24" a="1"/>
  <c r="P35" i="24" s="1"/>
  <c r="P36" i="24" a="1"/>
  <c r="P36" i="24" s="1"/>
  <c r="P37" i="24" a="1"/>
  <c r="P37" i="24" s="1"/>
  <c r="P38" i="24" a="1"/>
  <c r="P38" i="24" s="1"/>
  <c r="P41" i="24" a="1"/>
  <c r="P41" i="24" s="1"/>
  <c r="P42" i="24" a="1"/>
  <c r="P42" i="24" s="1"/>
  <c r="P44" i="24" a="1"/>
  <c r="P44" i="24" s="1"/>
  <c r="N226" i="24" l="1" a="1"/>
  <c r="N226" i="24" s="1"/>
  <c r="N227" i="24" a="1"/>
  <c r="N227" i="24" s="1"/>
  <c r="O26" i="24" s="1" a="1"/>
  <c r="O26" i="24" s="1"/>
  <c r="M20" i="24" a="1"/>
  <c r="M20" i="24" s="1"/>
  <c r="M26" i="24" a="1"/>
  <c r="M26" i="24" s="1"/>
  <c r="M27" i="24" a="1"/>
  <c r="M27" i="24" s="1"/>
  <c r="M29" i="24" a="1"/>
  <c r="M29" i="24" s="1"/>
  <c r="M28" i="24" a="1"/>
  <c r="M28" i="24" s="1"/>
  <c r="M30" i="24" a="1"/>
  <c r="M30" i="24" s="1"/>
  <c r="L20" i="24" a="1"/>
  <c r="L20" i="24" s="1"/>
  <c r="L26" i="24" a="1"/>
  <c r="L26" i="24" s="1"/>
  <c r="L27" i="24" a="1"/>
  <c r="L27" i="24" s="1"/>
  <c r="L29" i="24" a="1"/>
  <c r="L29" i="24" s="1"/>
  <c r="L28" i="24" a="1"/>
  <c r="L28" i="24" s="1"/>
  <c r="L30" i="24" a="1"/>
  <c r="L30" i="24" s="1"/>
  <c r="L32" i="24" a="1"/>
  <c r="L32" i="24" s="1"/>
  <c r="L35" i="24" a="1"/>
  <c r="L35" i="24" s="1"/>
  <c r="L36" i="24" a="1"/>
  <c r="L36" i="24" s="1"/>
  <c r="L37" i="24" a="1"/>
  <c r="L37" i="24" s="1"/>
  <c r="L38" i="24" a="1"/>
  <c r="L38" i="24" s="1"/>
  <c r="L41" i="24" a="1"/>
  <c r="L41" i="24" s="1"/>
  <c r="L42" i="24" a="1"/>
  <c r="L42" i="24" s="1"/>
  <c r="L44" i="24" a="1"/>
  <c r="L44" i="24" s="1"/>
  <c r="O40" i="24" l="1" a="1"/>
  <c r="O40" i="24" s="1"/>
  <c r="Q40" i="24" s="1"/>
  <c r="O34" i="24" a="1"/>
  <c r="O34" i="24" s="1"/>
  <c r="Q34" i="24" s="1"/>
  <c r="O24" i="24" a="1"/>
  <c r="O24" i="24" s="1"/>
  <c r="Q24" i="24" s="1"/>
  <c r="O22" i="24" a="1"/>
  <c r="O22" i="24" s="1"/>
  <c r="Q22" i="24" s="1"/>
  <c r="O23" i="24" a="1"/>
  <c r="O23" i="24" s="1"/>
  <c r="Q23" i="24" s="1"/>
  <c r="O33" i="24" a="1"/>
  <c r="O33" i="24" s="1"/>
  <c r="Q33" i="24" s="1"/>
  <c r="O43" i="24" a="1"/>
  <c r="O43" i="24" s="1"/>
  <c r="Q43" i="24" s="1"/>
  <c r="O25" i="24" a="1"/>
  <c r="O25" i="24" s="1"/>
  <c r="Q25" i="24" s="1"/>
  <c r="O31" i="24" a="1"/>
  <c r="O31" i="24" s="1"/>
  <c r="Q31" i="24" s="1"/>
  <c r="O21" i="24" a="1"/>
  <c r="O21" i="24" s="1"/>
  <c r="Q21" i="24" s="1"/>
  <c r="O20" i="24" a="1"/>
  <c r="O20" i="24" s="1"/>
  <c r="O39" i="24" a="1"/>
  <c r="O39" i="24" s="1"/>
  <c r="Q39" i="24" s="1"/>
  <c r="O35" i="24" a="1"/>
  <c r="O35" i="24" s="1"/>
  <c r="O32" i="24" a="1"/>
  <c r="O32" i="24" s="1"/>
  <c r="O44" i="24" a="1"/>
  <c r="O44" i="24" s="1"/>
  <c r="O30" i="24" a="1"/>
  <c r="O30" i="24" s="1"/>
  <c r="O42" i="24" a="1"/>
  <c r="O42" i="24" s="1"/>
  <c r="O28" i="24" a="1"/>
  <c r="O28" i="24" s="1"/>
  <c r="O41" i="24" a="1"/>
  <c r="O41" i="24" s="1"/>
  <c r="O29" i="24" a="1"/>
  <c r="O29" i="24" s="1"/>
  <c r="O38" i="24" a="1"/>
  <c r="O38" i="24" s="1"/>
  <c r="O27" i="24" a="1"/>
  <c r="O27" i="24" s="1"/>
  <c r="O37" i="24" a="1"/>
  <c r="O37" i="24" s="1"/>
  <c r="O36" i="24" a="1"/>
  <c r="O36" i="24" s="1"/>
  <c r="B16" i="43"/>
  <c r="F16" i="43"/>
  <c r="K16" i="43" a="1"/>
  <c r="J16" i="43" a="1"/>
  <c r="J16" i="43" l="1"/>
  <c r="M16" i="43" s="1" a="1"/>
  <c r="M16" i="43" s="1"/>
  <c r="K16" i="43"/>
  <c r="B241" i="24"/>
  <c r="B242" i="24"/>
  <c r="B243" i="24"/>
  <c r="B244" i="24"/>
  <c r="B245" i="24"/>
  <c r="B246" i="24"/>
  <c r="F241" i="24"/>
  <c r="F242" i="24"/>
  <c r="F243" i="24"/>
  <c r="F244" i="24"/>
  <c r="F245" i="24"/>
  <c r="F246" i="24"/>
  <c r="G16" i="43" a="1"/>
  <c r="G16" i="43" l="1"/>
  <c r="L16" i="43"/>
  <c r="J80" i="24" l="1" a="1"/>
  <c r="J80" i="24" s="1"/>
  <c r="J81" i="24" a="1"/>
  <c r="J81" i="24" s="1"/>
  <c r="J92" i="24" a="1"/>
  <c r="J92" i="24" s="1"/>
  <c r="J93" i="24" a="1"/>
  <c r="J93" i="24" s="1"/>
  <c r="J94" i="24" a="1"/>
  <c r="J94" i="24" s="1"/>
  <c r="J99" i="24" a="1"/>
  <c r="J99" i="24" s="1"/>
  <c r="J100" i="24" a="1"/>
  <c r="J100" i="24" s="1"/>
  <c r="J95" i="24" a="1"/>
  <c r="J95" i="24" s="1"/>
  <c r="J96" i="24" a="1"/>
  <c r="J96" i="24" s="1"/>
  <c r="J97" i="24" a="1"/>
  <c r="J97" i="24" s="1"/>
  <c r="J98" i="24" a="1"/>
  <c r="J98" i="24" s="1"/>
  <c r="J101" i="24" a="1"/>
  <c r="J101" i="24" s="1"/>
  <c r="J102" i="24" a="1"/>
  <c r="J102" i="24" s="1"/>
  <c r="J103" i="24" a="1"/>
  <c r="J103" i="24" s="1"/>
  <c r="J105" i="24" a="1"/>
  <c r="J105" i="24" s="1"/>
  <c r="J108" i="24" a="1"/>
  <c r="J108" i="24" s="1"/>
  <c r="J109" i="24" a="1"/>
  <c r="J109" i="24" s="1"/>
  <c r="J110" i="24" a="1"/>
  <c r="J110" i="24" s="1"/>
  <c r="J111" i="24" a="1"/>
  <c r="J111" i="24" s="1"/>
  <c r="J112" i="24" a="1"/>
  <c r="J112" i="24" s="1"/>
  <c r="J113" i="24" a="1"/>
  <c r="J113" i="24" s="1"/>
  <c r="J114" i="24" a="1"/>
  <c r="J114" i="24" s="1"/>
  <c r="J115" i="24" a="1"/>
  <c r="J115" i="24" s="1"/>
  <c r="J118" i="24" a="1"/>
  <c r="J118" i="24" s="1"/>
  <c r="J119" i="24" a="1"/>
  <c r="J119" i="24" s="1"/>
  <c r="J121" i="24" a="1"/>
  <c r="J121" i="24" s="1"/>
  <c r="B81" i="24"/>
  <c r="B15" i="43"/>
  <c r="F15" i="43"/>
  <c r="B212" i="24"/>
  <c r="B211" i="24"/>
  <c r="B210" i="24"/>
  <c r="K15" i="43" a="1"/>
  <c r="J15" i="43" a="1"/>
  <c r="J15" i="43" l="1"/>
  <c r="M15" i="43" s="1"/>
  <c r="K15" i="43"/>
  <c r="B176" i="24"/>
  <c r="B192" i="24"/>
  <c r="B199" i="24"/>
  <c r="B185" i="24"/>
  <c r="G15" i="43" a="1"/>
  <c r="H15" i="43"/>
  <c r="G15" i="43" l="1"/>
  <c r="I15" i="43" s="1"/>
  <c r="L15" i="43"/>
  <c r="I80" i="24"/>
  <c r="I81" i="24"/>
  <c r="I92" i="24"/>
  <c r="I93" i="24"/>
  <c r="I94" i="24"/>
  <c r="I99" i="24"/>
  <c r="I100" i="24"/>
  <c r="I95" i="24"/>
  <c r="I96" i="24"/>
  <c r="I97" i="24"/>
  <c r="I98" i="24"/>
  <c r="I101" i="24"/>
  <c r="I102" i="24"/>
  <c r="I103" i="24"/>
  <c r="I105" i="24"/>
  <c r="I108" i="24"/>
  <c r="I109" i="24"/>
  <c r="I110" i="24"/>
  <c r="I111" i="24"/>
  <c r="I112" i="24"/>
  <c r="I113" i="24"/>
  <c r="I114" i="24"/>
  <c r="I115" i="24"/>
  <c r="I118" i="24"/>
  <c r="I119" i="24"/>
  <c r="I121" i="24"/>
  <c r="B14" i="43"/>
  <c r="F14" i="43"/>
  <c r="B13" i="43"/>
  <c r="F13" i="43"/>
  <c r="F49" i="24" a="1"/>
  <c r="F49" i="24" s="1"/>
  <c r="F55" i="24" a="1"/>
  <c r="F55" i="24" s="1"/>
  <c r="F56" i="24" a="1"/>
  <c r="F56" i="24" s="1"/>
  <c r="F58" i="24" a="1"/>
  <c r="F58" i="24" s="1"/>
  <c r="F57" i="24" a="1"/>
  <c r="F57" i="24" s="1"/>
  <c r="F59" i="24" a="1"/>
  <c r="F59" i="24" s="1"/>
  <c r="F61" i="24" a="1"/>
  <c r="F61" i="24" s="1"/>
  <c r="F64" i="24" a="1"/>
  <c r="F64" i="24" s="1"/>
  <c r="F65" i="24" a="1"/>
  <c r="F65" i="24" s="1"/>
  <c r="F66" i="24" a="1"/>
  <c r="F66" i="24" s="1"/>
  <c r="F67" i="24" a="1"/>
  <c r="F67" i="24" s="1"/>
  <c r="F70" i="24" a="1"/>
  <c r="F70" i="24" s="1"/>
  <c r="F71" i="24" a="1"/>
  <c r="F71" i="24" s="1"/>
  <c r="F73" i="24" a="1"/>
  <c r="F73" i="24" s="1"/>
  <c r="E49" i="24" a="1"/>
  <c r="E49" i="24" s="1"/>
  <c r="E55" i="24" a="1"/>
  <c r="E55" i="24" s="1"/>
  <c r="E56" i="24" a="1"/>
  <c r="E56" i="24" s="1"/>
  <c r="E58" i="24" a="1"/>
  <c r="E58" i="24" s="1"/>
  <c r="E57" i="24" a="1"/>
  <c r="E57" i="24" s="1"/>
  <c r="E59" i="24" a="1"/>
  <c r="E59" i="24" s="1"/>
  <c r="E61" i="24" a="1"/>
  <c r="E61" i="24" s="1"/>
  <c r="E64" i="24" a="1"/>
  <c r="E64" i="24" s="1"/>
  <c r="E65" i="24" a="1"/>
  <c r="E65" i="24" s="1"/>
  <c r="E66" i="24" a="1"/>
  <c r="E66" i="24" s="1"/>
  <c r="E67" i="24" a="1"/>
  <c r="E67" i="24" s="1"/>
  <c r="E70" i="24" a="1"/>
  <c r="E70" i="24" s="1"/>
  <c r="E71" i="24" a="1"/>
  <c r="E71" i="24" s="1"/>
  <c r="E73" i="24" a="1"/>
  <c r="E73" i="24" s="1"/>
  <c r="D49" i="24" a="1"/>
  <c r="D49" i="24" s="1"/>
  <c r="N20" i="24" s="1" a="1"/>
  <c r="N20" i="24" s="1"/>
  <c r="Q20" i="24" s="1"/>
  <c r="D55" i="24" a="1"/>
  <c r="D55" i="24" s="1"/>
  <c r="N26" i="24" s="1" a="1"/>
  <c r="N26" i="24" s="1"/>
  <c r="D56" i="24" a="1"/>
  <c r="D56" i="24" s="1"/>
  <c r="N27" i="24" s="1" a="1"/>
  <c r="N27" i="24" s="1"/>
  <c r="Q27" i="24" s="1"/>
  <c r="D58" i="24" a="1"/>
  <c r="D58" i="24" s="1"/>
  <c r="N29" i="24" s="1" a="1"/>
  <c r="N29" i="24" s="1"/>
  <c r="Q29" i="24" s="1"/>
  <c r="D57" i="24" a="1"/>
  <c r="D57" i="24" s="1"/>
  <c r="N28" i="24" s="1" a="1"/>
  <c r="N28" i="24" s="1"/>
  <c r="Q28" i="24" s="1"/>
  <c r="D59" i="24" a="1"/>
  <c r="D59" i="24" s="1"/>
  <c r="N30" i="24" s="1" a="1"/>
  <c r="N30" i="24" s="1"/>
  <c r="D61" i="24" a="1"/>
  <c r="D61" i="24" s="1"/>
  <c r="N32" i="24" s="1" a="1"/>
  <c r="N32" i="24" s="1"/>
  <c r="Q32" i="24" s="1"/>
  <c r="D64" i="24" a="1"/>
  <c r="D64" i="24" s="1"/>
  <c r="N35" i="24" s="1" a="1"/>
  <c r="N35" i="24" s="1"/>
  <c r="Q35" i="24" s="1"/>
  <c r="D65" i="24" a="1"/>
  <c r="D65" i="24" s="1"/>
  <c r="N36" i="24" s="1" a="1"/>
  <c r="N36" i="24" s="1"/>
  <c r="Q36" i="24" s="1"/>
  <c r="D66" i="24" a="1"/>
  <c r="D66" i="24" s="1"/>
  <c r="N37" i="24" s="1" a="1"/>
  <c r="N37" i="24" s="1"/>
  <c r="Q37" i="24" s="1"/>
  <c r="D67" i="24" a="1"/>
  <c r="D67" i="24" s="1"/>
  <c r="N38" i="24" s="1" a="1"/>
  <c r="N38" i="24" s="1"/>
  <c r="Q38" i="24" s="1"/>
  <c r="D70" i="24" a="1"/>
  <c r="D70" i="24" s="1"/>
  <c r="N41" i="24" s="1" a="1"/>
  <c r="N41" i="24" s="1"/>
  <c r="Q41" i="24" s="1"/>
  <c r="D71" i="24" a="1"/>
  <c r="D71" i="24" s="1"/>
  <c r="N42" i="24" s="1" a="1"/>
  <c r="N42" i="24" s="1"/>
  <c r="Q42" i="24" s="1"/>
  <c r="D73" i="24" a="1"/>
  <c r="D73" i="24" s="1"/>
  <c r="N44" i="24" s="1" a="1"/>
  <c r="N44" i="24" s="1"/>
  <c r="Q44" i="24" s="1"/>
  <c r="B57" i="24"/>
  <c r="B59" i="24"/>
  <c r="B61" i="24"/>
  <c r="B64" i="24"/>
  <c r="B65" i="24"/>
  <c r="B66" i="24"/>
  <c r="B67" i="24"/>
  <c r="B70" i="24"/>
  <c r="B71" i="24"/>
  <c r="B73"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8"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41" i="24"/>
  <c r="J42" i="24"/>
  <c r="J28" i="24"/>
  <c r="J32" i="24"/>
  <c r="J13" i="43" a="1"/>
  <c r="J44" i="24"/>
  <c r="J38" i="24"/>
  <c r="J27" i="24"/>
  <c r="J29" i="24"/>
  <c r="G14" i="43" a="1"/>
  <c r="J35" i="24"/>
  <c r="K13" i="43" a="1"/>
  <c r="C5" i="24"/>
  <c r="J30" i="24"/>
  <c r="J37" i="24"/>
  <c r="K14" i="43" a="1"/>
  <c r="J36" i="24"/>
  <c r="J20" i="24"/>
  <c r="J26" i="24"/>
  <c r="H34" i="24" l="1" a="1"/>
  <c r="H34" i="24" s="1"/>
  <c r="H40" i="24" a="1"/>
  <c r="H40" i="24" s="1"/>
  <c r="H22" i="24" a="1"/>
  <c r="H22" i="24" s="1"/>
  <c r="H24" i="24" a="1"/>
  <c r="H24" i="24" s="1"/>
  <c r="H33" i="24" a="1"/>
  <c r="H33" i="24" s="1"/>
  <c r="H23" i="24" a="1"/>
  <c r="H23" i="24" s="1"/>
  <c r="H25" i="24" a="1"/>
  <c r="H25" i="24" s="1"/>
  <c r="H43" i="24" a="1"/>
  <c r="H43" i="24" s="1"/>
  <c r="H31" i="24" a="1"/>
  <c r="H31" i="24" s="1"/>
  <c r="H21" i="24" a="1"/>
  <c r="H21" i="24" s="1"/>
  <c r="H39" i="24" a="1"/>
  <c r="H39" i="24" s="1"/>
  <c r="Q26" i="24"/>
  <c r="Q30" i="24"/>
  <c r="H20" i="24" a="1"/>
  <c r="H20" i="24" s="1"/>
  <c r="H26" i="24" a="1"/>
  <c r="H26" i="24" s="1"/>
  <c r="H37" i="24" a="1"/>
  <c r="H37" i="24" s="1"/>
  <c r="H32" i="24" a="1"/>
  <c r="H32" i="24" s="1"/>
  <c r="H27" i="24" a="1"/>
  <c r="H27" i="24" s="1"/>
  <c r="H38" i="24" a="1"/>
  <c r="H38" i="24" s="1"/>
  <c r="H44" i="24" a="1"/>
  <c r="H44" i="24" s="1"/>
  <c r="H35" i="24" a="1"/>
  <c r="H35" i="24" s="1"/>
  <c r="H29" i="24" a="1"/>
  <c r="H29" i="24" s="1"/>
  <c r="H41" i="24" a="1"/>
  <c r="H41" i="24" s="1"/>
  <c r="H42" i="24" a="1"/>
  <c r="H42" i="24" s="1"/>
  <c r="H36" i="24" a="1"/>
  <c r="H36" i="24" s="1"/>
  <c r="H28" i="24" a="1"/>
  <c r="H28" i="24" s="1"/>
  <c r="H30" i="24" a="1"/>
  <c r="H30"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2" i="24" l="1"/>
  <c r="B93" i="24"/>
  <c r="B94" i="24"/>
  <c r="B99" i="24"/>
  <c r="B100" i="24"/>
  <c r="B95" i="24"/>
  <c r="B96" i="24"/>
  <c r="B97" i="24"/>
  <c r="B98" i="24"/>
  <c r="B101" i="24"/>
  <c r="B102" i="24"/>
  <c r="B103" i="24"/>
  <c r="B105" i="24"/>
  <c r="B108" i="24"/>
  <c r="B109" i="24"/>
  <c r="B110" i="24"/>
  <c r="B111" i="24"/>
  <c r="B112" i="24"/>
  <c r="B113" i="24"/>
  <c r="B114" i="24"/>
  <c r="B115" i="24"/>
  <c r="B118" i="24"/>
  <c r="B119" i="24"/>
  <c r="B121" i="24"/>
  <c r="B80" i="24"/>
  <c r="I20" i="24" a="1"/>
  <c r="I41" i="24" a="1"/>
  <c r="I23" i="24" a="1"/>
  <c r="I31" i="24" a="1"/>
  <c r="I36" i="24" a="1"/>
  <c r="I35" i="24" a="1"/>
  <c r="I27" i="24" a="1"/>
  <c r="I44" i="24" a="1"/>
  <c r="I29" i="24" a="1"/>
  <c r="I37" i="24" a="1"/>
  <c r="I39" i="24" a="1"/>
  <c r="I38" i="24" a="1"/>
  <c r="I30" i="24" a="1"/>
  <c r="I25" i="24" a="1"/>
  <c r="I21" i="24" a="1"/>
  <c r="I22" i="24" a="1"/>
  <c r="I40" i="24" a="1"/>
  <c r="I24" i="24" a="1"/>
  <c r="I26" i="24" a="1"/>
  <c r="I32" i="24" a="1"/>
  <c r="I43" i="24" a="1"/>
  <c r="I33" i="24" a="1"/>
  <c r="I42" i="24" a="1"/>
  <c r="I34" i="24" a="1"/>
  <c r="I28" i="24" a="1"/>
  <c r="I34" i="24" l="1"/>
  <c r="I40" i="24"/>
  <c r="I22" i="24"/>
  <c r="I24" i="24"/>
  <c r="I33" i="24"/>
  <c r="I23" i="24"/>
  <c r="I25" i="24"/>
  <c r="I43" i="24"/>
  <c r="I31" i="24"/>
  <c r="I21" i="24"/>
  <c r="I39" i="24"/>
  <c r="I42" i="24"/>
  <c r="I27" i="24"/>
  <c r="I32" i="24"/>
  <c r="I38" i="24"/>
  <c r="I29" i="24"/>
  <c r="I41" i="24"/>
  <c r="I44" i="24"/>
  <c r="I35" i="24"/>
  <c r="I20" i="24"/>
  <c r="I28" i="24"/>
  <c r="I36" i="24"/>
  <c r="I26" i="24"/>
  <c r="I30" i="24"/>
  <c r="I37"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1" i="24"/>
  <c r="B193" i="24"/>
  <c r="B179" i="24"/>
  <c r="B175" i="24"/>
  <c r="B177"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1" i="43" a="1"/>
  <c r="G10" i="43" a="1"/>
  <c r="G4" i="43" a="1"/>
  <c r="G12" i="43" a="1"/>
  <c r="K12" i="43" a="1"/>
  <c r="K10" i="43" a="1"/>
  <c r="K7" i="43" a="1"/>
  <c r="G9" i="43" a="1"/>
  <c r="K9" i="43" a="1"/>
  <c r="K11" i="43" a="1"/>
  <c r="G6" i="43" a="1"/>
  <c r="G5" i="43" a="1"/>
  <c r="G7" i="43" a="1"/>
  <c r="T146" i="24" l="1" a="1"/>
  <c r="T146" i="24" s="1"/>
  <c r="S146" i="24" a="1"/>
  <c r="S146" i="24" s="1"/>
  <c r="T158" i="24" a="1"/>
  <c r="T158" i="24" s="1"/>
  <c r="S158" i="24" a="1"/>
  <c r="S158" i="24" s="1"/>
  <c r="S159" i="24" a="1"/>
  <c r="S159" i="24" s="1"/>
  <c r="T159" i="24" a="1"/>
  <c r="T159" i="24" s="1"/>
  <c r="S160" i="24" a="1"/>
  <c r="S160" i="24" s="1"/>
  <c r="T160" i="24" a="1"/>
  <c r="T160" i="24" s="1"/>
  <c r="S129" i="24" a="1"/>
  <c r="S129" i="24" s="1"/>
  <c r="T129" i="24" a="1"/>
  <c r="T129" i="24" s="1"/>
  <c r="G9" i="43"/>
  <c r="T135" i="24" a="1"/>
  <c r="T135" i="24" s="1"/>
  <c r="T134" i="24" a="1"/>
  <c r="T134" i="24" s="1"/>
  <c r="S134" i="24" a="1"/>
  <c r="S134" i="24" s="1"/>
  <c r="S136" i="24" a="1"/>
  <c r="S136" i="24" s="1"/>
  <c r="T136" i="24" a="1"/>
  <c r="T136" i="24" s="1"/>
  <c r="T145" i="24" a="1"/>
  <c r="T145" i="24" s="1"/>
  <c r="T165" i="24" a="1"/>
  <c r="T165" i="24" s="1"/>
  <c r="S165" i="24" a="1"/>
  <c r="S165" i="24" s="1"/>
  <c r="S143" i="24" a="1"/>
  <c r="S143" i="24" s="1"/>
  <c r="T143" i="24" a="1"/>
  <c r="T143" i="24" s="1"/>
  <c r="S138" i="24" a="1"/>
  <c r="S138" i="24" s="1"/>
  <c r="T126" i="24" a="1"/>
  <c r="T126" i="24" s="1"/>
  <c r="T141" i="24" a="1"/>
  <c r="T141" i="24" s="1"/>
  <c r="T163" i="24" a="1"/>
  <c r="T163" i="24" s="1"/>
  <c r="S139" i="24" a="1"/>
  <c r="S139" i="24" s="1"/>
  <c r="T144" i="24" a="1"/>
  <c r="T144" i="24" s="1"/>
  <c r="T150" i="24" a="1"/>
  <c r="T150" i="24" s="1"/>
  <c r="T153" i="24" a="1"/>
  <c r="T153" i="24" s="1"/>
  <c r="T155" i="24" a="1"/>
  <c r="T155" i="24" s="1"/>
  <c r="S148" i="24" a="1"/>
  <c r="S148" i="24" s="1"/>
  <c r="T149" i="24" a="1"/>
  <c r="T149" i="24" s="1"/>
  <c r="U147" i="24" a="1"/>
  <c r="U147" i="24" s="1"/>
  <c r="T157" i="24" a="1"/>
  <c r="T157" i="24" s="1"/>
  <c r="U148" i="24" a="1"/>
  <c r="U148" i="24" s="1"/>
  <c r="T164" i="24" a="1"/>
  <c r="T164" i="24" s="1"/>
  <c r="T140" i="24" a="1"/>
  <c r="T140" i="24" s="1"/>
  <c r="T151" i="24" a="1"/>
  <c r="T151" i="24" s="1"/>
  <c r="T127" i="24" a="1"/>
  <c r="T127" i="24" s="1"/>
  <c r="T156" i="24" a="1"/>
  <c r="T156" i="24" s="1"/>
  <c r="U144" i="24" a="1"/>
  <c r="U144" i="24" s="1"/>
  <c r="T152" i="24" a="1"/>
  <c r="T152" i="24" s="1"/>
  <c r="S147" i="24" a="1"/>
  <c r="S147" i="24" s="1"/>
  <c r="U128" i="24" a="1"/>
  <c r="U128" i="24" s="1"/>
  <c r="G12" i="43"/>
  <c r="K12" i="43"/>
  <c r="G11" i="43"/>
  <c r="K11" i="43"/>
  <c r="G10" i="43"/>
  <c r="K10" i="43"/>
  <c r="K9" i="43"/>
  <c r="G7" i="43"/>
  <c r="G6" i="43"/>
  <c r="G5" i="43"/>
  <c r="G4" i="43"/>
  <c r="K7" i="43"/>
  <c r="J10" i="43" a="1"/>
  <c r="J6" i="43" a="1"/>
  <c r="H7" i="43"/>
  <c r="J5" i="43" a="1"/>
  <c r="J12" i="43" a="1"/>
  <c r="J9" i="43" a="1"/>
  <c r="J4" i="43" a="1"/>
  <c r="J11"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6" i="24"/>
  <c r="Q127" i="24"/>
  <c r="Q137" i="24"/>
  <c r="Q138" i="24"/>
  <c r="Q140" i="24"/>
  <c r="Q141" i="24"/>
  <c r="Q139" i="24"/>
  <c r="Q142" i="24"/>
  <c r="Q144" i="24"/>
  <c r="Q147" i="24"/>
  <c r="Q148" i="24"/>
  <c r="Q149" i="24"/>
  <c r="Q150" i="24"/>
  <c r="Q151" i="24"/>
  <c r="Q152" i="24"/>
  <c r="Q153" i="24"/>
  <c r="Q154" i="24"/>
  <c r="Q161" i="24"/>
  <c r="Q162" i="24"/>
  <c r="Q164" i="24"/>
  <c r="Q166" i="24"/>
  <c r="Q167" i="24"/>
  <c r="Q168" i="24"/>
  <c r="O154" i="24"/>
  <c r="B190" i="24"/>
  <c r="B154" i="24"/>
  <c r="B161" i="24"/>
  <c r="B139" i="24"/>
  <c r="B142" i="24"/>
  <c r="B144" i="24"/>
  <c r="B147" i="24"/>
  <c r="B148" i="24"/>
  <c r="B138" i="24"/>
  <c r="B137" i="24"/>
  <c r="B164" i="24" l="1"/>
  <c r="B162" i="24"/>
  <c r="B163" i="24"/>
  <c r="B127" i="24"/>
  <c r="B126" i="24"/>
  <c r="B182" i="24"/>
  <c r="B184" i="24"/>
  <c r="B183"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8" i="24" l="1"/>
  <c r="D219" i="24"/>
  <c r="B220" i="24"/>
  <c r="B219" i="24"/>
  <c r="B218" i="24"/>
  <c r="B189" i="24" l="1"/>
  <c r="B181" i="24"/>
  <c r="B174" i="24"/>
  <c r="H12" i="43"/>
  <c r="I12" i="43" l="1"/>
  <c r="B168" i="24" l="1"/>
  <c r="B166" i="24"/>
  <c r="B167" i="24"/>
  <c r="B150" i="24"/>
  <c r="B153" i="24"/>
  <c r="B149" i="24"/>
  <c r="B152" i="24"/>
  <c r="B151" i="24"/>
  <c r="B140" i="24"/>
  <c r="B141" i="24"/>
  <c r="E252" i="24"/>
  <c r="E253" i="24"/>
  <c r="E254" i="24"/>
  <c r="E255" i="24"/>
  <c r="E256" i="24"/>
  <c r="E257" i="24"/>
  <c r="E258" i="24"/>
  <c r="D252" i="24"/>
  <c r="D253" i="24"/>
  <c r="D254" i="24"/>
  <c r="D255" i="24"/>
  <c r="D256" i="24"/>
  <c r="D257" i="24"/>
  <c r="D258" i="24"/>
  <c r="K36" i="24" a="1"/>
  <c r="K42" i="24" a="1"/>
  <c r="K23" i="24" a="1"/>
  <c r="K25" i="24" a="1"/>
  <c r="K33" i="24" a="1"/>
  <c r="H11" i="43"/>
  <c r="K44" i="24" a="1"/>
  <c r="K43" i="24" a="1"/>
  <c r="K35" i="24" a="1"/>
  <c r="K37" i="24" a="1"/>
  <c r="K30" i="24" a="1"/>
  <c r="K29" i="24" a="1"/>
  <c r="K21" i="24" a="1"/>
  <c r="K32" i="24" a="1"/>
  <c r="K40" i="24" a="1"/>
  <c r="K24" i="24" a="1"/>
  <c r="K34" i="24" a="1"/>
  <c r="K28" i="24" a="1"/>
  <c r="K38" i="24" a="1"/>
  <c r="K27" i="24" a="1"/>
  <c r="K31" i="24" a="1"/>
  <c r="K26" i="24" a="1"/>
  <c r="K41" i="24" a="1"/>
  <c r="K20" i="24" a="1"/>
  <c r="K39" i="24" a="1"/>
  <c r="K34" i="24" l="1"/>
  <c r="K40" i="24"/>
  <c r="K24" i="24"/>
  <c r="K33" i="24"/>
  <c r="K23" i="24"/>
  <c r="K25" i="24"/>
  <c r="K43" i="24"/>
  <c r="K31" i="24"/>
  <c r="K21" i="24"/>
  <c r="K39" i="24"/>
  <c r="K35" i="24"/>
  <c r="K29" i="24"/>
  <c r="K38" i="24"/>
  <c r="K27" i="24"/>
  <c r="K41" i="24"/>
  <c r="K32" i="24"/>
  <c r="K44" i="24"/>
  <c r="K26" i="24"/>
  <c r="K42" i="24"/>
  <c r="K37" i="24"/>
  <c r="K30" i="24"/>
  <c r="K36" i="24"/>
  <c r="K28" i="24"/>
  <c r="K20" i="24"/>
  <c r="I11" i="43"/>
  <c r="B6" i="43"/>
  <c r="K6" i="43" a="1"/>
  <c r="H6" i="43"/>
  <c r="K22" i="24" a="1"/>
  <c r="K22" i="24" l="1"/>
  <c r="I6" i="43"/>
  <c r="K6" i="43"/>
  <c r="L6" i="43" s="1"/>
  <c r="B4" i="43"/>
  <c r="K4" i="43" a="1"/>
  <c r="K4" i="43" l="1"/>
  <c r="L4" i="43" s="1"/>
  <c r="B49" i="24"/>
  <c r="B55" i="24"/>
  <c r="B56" i="24"/>
  <c r="B58" i="24"/>
  <c r="B226" i="24"/>
  <c r="B227" i="24"/>
  <c r="B233" i="24"/>
  <c r="B234" i="24"/>
  <c r="B235" i="24"/>
  <c r="B236" i="24"/>
  <c r="B237" i="24"/>
  <c r="B238" i="24"/>
  <c r="B252" i="24"/>
  <c r="B253" i="24"/>
  <c r="B254" i="24"/>
  <c r="B255" i="24"/>
  <c r="B256" i="24"/>
  <c r="B257" i="24"/>
  <c r="B258" i="24"/>
  <c r="H16" i="43"/>
  <c r="H14" i="43"/>
  <c r="H4" i="43"/>
  <c r="H13" i="43"/>
  <c r="H10" i="43"/>
  <c r="I16" i="43" l="1"/>
  <c r="I13" i="43"/>
  <c r="I14" i="43"/>
  <c r="I10" i="43"/>
  <c r="I4" i="43"/>
  <c r="F234" i="24"/>
  <c r="F233" i="24"/>
  <c r="F236" i="24"/>
  <c r="F235" i="24"/>
  <c r="F238" i="24"/>
  <c r="F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9"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19"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8"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9"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9"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9"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9"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5"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5"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3"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3"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3"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<sst xmlns="http://schemas.openxmlformats.org/spreadsheetml/2006/main" count="20713" uniqueCount="1425">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</sst>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1">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0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03"/>
    </tableStyle>
    <tableStyle name="Table Style 2" pivot="0" count="2" xr9:uid="{5906E8DD-1157-4888-9A27-3B2DB57DF7A2}">
      <tableStyleElement type="wholeTable" dxfId="302"/>
      <tableStyleElement type="headerRow" dxfId="30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00">
  <autoFilter ref="B9:C34" xr:uid="{DBDF25E7-D35C-4344-9B72-491345FCBF34}"/>
  <tableColumns count="2">
    <tableColumn id="1" xr3:uid="{306AD3FA-EE0B-4D9C-828A-C0B76198AE0B}" name="Worksheet" dataDxfId="29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1" totalsRowShown="0" headerRowDxfId="298" dataDxfId="297">
  <autoFilter ref="B3:N21"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96">
      <calculatedColumnFormula xml:space="preserve"> ROW( doc_tablesList[[#This Row],[ID]] ) - ROW(doc_tablesList[[#Headers],[ID]] )</calculatedColumnFormula>
    </tableColumn>
    <tableColumn id="2" xr3:uid="{238E4D6F-DBDF-41A4-8350-E77587A7D4B3}" name="Table Name" dataDxfId="295"/>
    <tableColumn id="8" xr3:uid="{D46F7497-B3FD-485E-91E8-C8117D6673FA}" name="Import" dataDxfId="294"/>
    <tableColumn id="3" xr3:uid="{39F2BFBD-30E6-473D-B9E5-9F407D5928C3}" name="Worksheet" dataDxfId="293"/>
    <tableColumn id="9" xr3:uid="{507E67A6-0C2B-4342-A04B-6A8E615993E3}" name="ID_columnName" dataDxfId="292">
      <calculatedColumnFormula xml:space="preserve"> "row_id"</calculatedColumnFormula>
    </tableColumn>
    <tableColumn id="4" xr3:uid="{961C935C-163D-4860-BA16-6CB492916203}" name="Header Row" dataDxfId="29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90">
      <calculatedColumnFormula xml:space="preserve"> MAX( INDIRECT( _xlfn.TEXTJOIN( "", , doc_tablesList[[#This Row],[Table Name]], "[", doc_tablesList[[#This Row],[ID_columnName]], "]" ) ) )</calculatedColumnFormula>
    </tableColumn>
    <tableColumn id="13" xr3:uid="{F53E64F1-7445-4927-A376-2FB765265648}" name="Last Row" dataDxfId="289">
      <calculatedColumnFormula xml:space="preserve"> doc_tablesList[[#This Row],[Number of Data Rows]] + doc_tablesList[[#This Row],[Header Row]]</calculatedColumnFormula>
    </tableColumn>
    <tableColumn id="6" xr3:uid="{86A51CF5-A3BA-4019-9C90-7A94C7FBA534}" name="id_colIndex" dataDxfId="288">
      <calculatedColumnFormula array="1" xml:space="preserve"> INDEX( COLUMN( INDIRECT( doc_tablesList[[#This Row],[Table Name]] &amp; "[" &amp; doc_tablesList[[#This Row],[ID_columnName]] &amp; "]" ) ), 1 )</calculatedColumnFormula>
    </tableColumn>
    <tableColumn id="7" xr3:uid="{DD29767F-0B22-4C97-9012-467EF6380323}" name="last_colIndex" dataDxfId="287">
      <calculatedColumnFormula array="1" xml:space="preserve"> MAX( COLUMN( INDIRECT( doc_tablesList[[#This Row],[Table Name]] ) ) )</calculatedColumnFormula>
    </tableColumn>
    <tableColumn id="12" xr3:uid="{7F09C7E5-85E6-4334-8C65-926F0EE13A13}" name="num_tableCols" dataDxfId="286">
      <calculatedColumnFormula xml:space="preserve"> doc_tablesList[[#This Row],[last_colIndex]] - doc_tablesList[[#This Row],[id_colIndex]] + 1</calculatedColumnFormula>
    </tableColumn>
    <tableColumn id="11" xr3:uid="{C4016964-772D-4CB1-A4CA-7E815387BA94}" name="excludeCol_ids" dataDxfId="285"/>
    <tableColumn id="10" xr3:uid="{1AD286DF-FF1E-4EA7-92C2-04966DE58B94}" name="Notes" dataDxfId="28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83" dataDxfId="28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81">
      <calculatedColumnFormula xml:space="preserve"> ROW( testDev[[#This Row],[row_id]] ) - ROW(testDev[[#Headers],[row_id]] )</calculatedColumnFormula>
    </tableColumn>
    <tableColumn id="2" xr3:uid="{724C3667-B22B-4E0E-A26D-84EB27DA32DC}" name="Table Name" dataDxfId="280"/>
    <tableColumn id="8" xr3:uid="{2DE33227-E2C9-4F8F-BDC2-7C7EB619B32B}" name="Changes if new sector added" dataDxfId="279"/>
    <tableColumn id="3" xr3:uid="{91AE5770-239D-41B2-B469-E73127600B2A}" name="New sector changes" dataDxfId="27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9:Q44" totalsRowShown="0" headerRowDxfId="277" dataDxfId="275" headerRowBorderDxfId="276" tableBorderDxfId="274" totalsRowBorderDxfId="273">
  <sortState xmlns:xlrd2="http://schemas.microsoft.com/office/spreadsheetml/2017/richdata2" ref="B20:Q44">
    <sortCondition ref="D20:D44"/>
  </sortState>
  <tableColumns count="16">
    <tableColumn id="14" xr3:uid="{60C3EA8F-72E0-495B-8B73-6D682443C60B}" name="row_id" dataDxfId="272" totalsRowDxfId="271">
      <calculatedColumnFormula xml:space="preserve"> ROW( co_sectors[[#This Row],[row_id]] ) - ROW( co_sectors[[#Headers],[row_id]] )</calculatedColumnFormula>
    </tableColumn>
    <tableColumn id="1" xr3:uid="{05E901B8-39C9-4448-8C69-F1824616C5B3}" name="sector_id" dataDxfId="270" totalsRowDxfId="269"/>
    <tableColumn id="2" xr3:uid="{8435BE36-75E6-4124-BCAF-A700C82839D8}" name="sector_label" dataDxfId="268" totalsRowDxfId="267"/>
    <tableColumn id="6" xr3:uid="{2BB914B0-56FF-4336-B8AD-DDDF5E8FE532}" name="include" dataDxfId="266" totalsRowDxfId="265"/>
    <tableColumn id="8" xr3:uid="{18B4827C-060D-4556-903A-BB8A82781CB7}" name="modelType" dataDxfId="264" totalsRowDxfId="263"/>
    <tableColumn id="12" xr3:uid="{5469339C-733E-42AE-A900-9ED6C4EB5971}" name="byState" dataDxfId="262" totalsRowDxfId="261"/>
    <tableColumn id="9" xr3:uid="{031B452A-F7AD-42C2-B528-CC3050A26AA0}" name="interpolateEstimateYears" dataDxfId="260" totalsRowDxfId="25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8" totalsRowDxfId="25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6" totalsRowDxfId="25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54"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52" totalsRowDxfId="251">
      <calculatedColumnFormula array="1" xml:space="preserve"> SUMPRODUCT( --( co_sectors[[#This Row],[sector_id]] = co_variants[sector_id] ) )</calculatedColumnFormula>
    </tableColumn>
    <tableColumn id="11" xr3:uid="{5F0E2743-320C-46C8-BF83-E0748C4ED15D}" name="Number of impact types" dataDxfId="250" totalsRowDxfId="249">
      <calculatedColumnFormula array="1" xml:space="preserve"> SUMPRODUCT( --( co_sectors[[#This Row],[sector_id]] = co_impactTypes[sector_id] ) )</calculatedColumnFormula>
    </tableColumn>
    <tableColumn id="13" xr3:uid="{39CDE92C-BE84-47A0-A80A-EB0EC7367742}" name="Number of impact years" dataDxfId="248" totalsRowDxfId="247">
      <calculatedColumnFormula array="1" xml:space="preserve"> IF( INDEX( co_impactYears[N/A], MATCH( 1, --( co_sectors[[#This Row],[sector_id]] = co_impactYears[sector_id] ), 0 ) ) = "N/A", 1, 2 )</calculatedColumnFormula>
    </tableColumn>
    <tableColumn id="16" xr3:uid="{E3198681-898F-4937-B8ED-BD8ED473A1BE}" name="Number of models" dataDxfId="246" totalsRowDxfId="24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44" totalsRowDxfId="24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42" totalsRowDxfId="24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40" dataDxfId="239">
  <tableColumns count="13">
    <tableColumn id="1" xr3:uid="{11DFD282-93A9-4795-9369-6627D14BB282}" name="row_id" dataDxfId="238">
      <calculatedColumnFormula xml:space="preserve"> ROW( co_modelTypes[[#This Row],[row_id]] ) - ROW( co_modelTypes[[#Headers],[row_id]] )</calculatedColumnFormula>
    </tableColumn>
    <tableColumn id="5" xr3:uid="{083A43A4-471A-4911-84CB-93A1DE17EDC1}" name="modelType_id" dataDxfId="237"/>
    <tableColumn id="6" xr3:uid="{5A95B322-31B8-49BE-B215-52BB75258F9F}" name="modelType_label" dataDxfId="236"/>
    <tableColumn id="2" xr3:uid="{7172DDAD-67EF-469B-A2DF-E5E2773966BC}" name="modelUnit_id" dataDxfId="235"/>
    <tableColumn id="8" xr3:uid="{0E585296-9334-4F27-8B15-1B944CD33E6C}" name="modelUnit_label" dataDxfId="234"/>
    <tableColumn id="3" xr3:uid="{540088D4-3239-4E2E-B19D-9DEA7196BB93}" name="modelUnitType" dataDxfId="233"/>
    <tableColumn id="7" xr3:uid="{EDB25577-4E2B-4262-9DF5-F68DC828D4E8}" name="modelUnitDesc" dataDxfId="232"/>
    <tableColumn id="4" xr3:uid="{72573958-4C31-41E8-A620-C05E0EAD6C20}" name="modelRefYear" dataDxfId="231"/>
    <tableColumn id="14" xr3:uid="{24E03EC5-2F20-4779-B9C9-9AA4430B9341}" name="modelMaxOutput" dataDxfId="230"/>
    <tableColumn id="9" xr3:uid="{537B6620-4A1F-465E-B24B-88B4E9CB99EF}" name="modelMaxExtrap" dataDxfId="229"/>
    <tableColumn id="10" xr3:uid="{5F1496AF-7FEE-4618-AAE6-2E8C8F5433BE}" name="modelUnitScale" dataDxfId="228"/>
    <tableColumn id="13" xr3:uid="{2D80CF7B-1072-423B-9E13-7F9B3844DD63}" name="Number of levels" dataDxfId="227"/>
    <tableColumn id="12" xr3:uid="{D1A4CB2D-7AE0-4E8A-AC5A-FA532FF3EFB2}" name="Number of models" dataDxfId="22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25" dataDxfId="224">
  <tableColumns count="4">
    <tableColumn id="1" xr3:uid="{18599272-3810-42BA-A220-485AFB1D6807}" name="row_id" dataDxfId="223">
      <calculatedColumnFormula xml:space="preserve"> ROW( co_regions[[#This Row],[row_id]] ) - ROW( co_regions[[#Headers],[row_id]] )</calculatedColumnFormula>
    </tableColumn>
    <tableColumn id="3" xr3:uid="{56B07D04-3458-4687-B04E-181849066DB3}" name="region_label" dataDxfId="222"/>
    <tableColumn id="4" xr3:uid="{C002439A-2823-4374-8AD2-D03BE0946361}" name="region_dot" dataDxfId="221">
      <calculatedColumnFormula xml:space="preserve"> SUBSTITUTE( co_regions[[#This Row],[region_label]], " ", "." )</calculatedColumnFormula>
    </tableColumn>
    <tableColumn id="5" xr3:uid="{FFA64F27-24E0-4D92-8E8A-6A4675CEB856}" name="region_underscore" dataDxfId="22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G246" totalsRowShown="0" headerRowDxfId="219" dataDxfId="218">
  <tableColumns count="6">
    <tableColumn id="1" xr3:uid="{BF1485BD-F9FE-4F5B-9D9F-D9CB3D918F44}" name="row_id" dataDxfId="217">
      <calculatedColumnFormula xml:space="preserve"> ROW( co_models[[#This Row],[row_id]] ) - ROW( co_models[[#Headers],[row_id]] )</calculatedColumnFormula>
    </tableColumn>
    <tableColumn id="2" xr3:uid="{A209304D-718C-45BB-922A-A83B3EC89858}" name="model_id" dataDxfId="216"/>
    <tableColumn id="20" xr3:uid="{A1F83970-3B0E-4464-8376-1B37DBE20974}" name="modelType" dataDxfId="215"/>
    <tableColumn id="4" xr3:uid="{07FC9EA5-74D5-4155-BD5E-E00DD3D52BAE}" name="model_dot" dataDxfId="21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3">
      <calculatedColumnFormula xml:space="preserve"> SUBSTITUTE( co_models[[#This Row],[model_dot]], ".", "_" )</calculatedColumnFormula>
    </tableColumn>
    <tableColumn id="3" xr3:uid="{F9DE0808-4FD0-4FB6-9363-B580ED760D5C}" name="model_label" dataDxfId="21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8:F73" totalsRowShown="0" headerRowDxfId="211" dataDxfId="210">
  <autoFilter ref="B48:F73" xr:uid="{965CD6B2-887D-46C8-9D98-6C6AECBC7B1A}"/>
  <sortState xmlns:xlrd2="http://schemas.microsoft.com/office/spreadsheetml/2017/richdata2" ref="B49:F73">
    <sortCondition ref="C49:C73"/>
  </sortState>
  <tableColumns count="5">
    <tableColumn id="1" xr3:uid="{CDF8B6C0-3166-4A5F-954A-6DD921A48F0D}" name="row_id" dataDxfId="209" totalsRowDxfId="208">
      <calculatedColumnFormula xml:space="preserve"> ROW( co_impactYears[[#This Row],[row_id]] ) - ROW(co_impactYears[[#Headers],[row_id]] )</calculatedColumnFormula>
    </tableColumn>
    <tableColumn id="2" xr3:uid="{CE04D22F-F326-49F0-9B89-F7BBAC07F272}" name="sector_id" dataDxfId="207" totalsRowDxfId="206"/>
    <tableColumn id="4" xr3:uid="{D085A6D5-2B6A-46B4-9638-D837648BB08B}" name="N/A" dataDxfId="205" totalsRowDxfId="204">
      <calculatedColumnFormula array="1" xml:space="preserve"> IF( SUMPRODUCT( --( VALUE( controlTables!E$48 ) = data_scaledImpacts[impactYear] ), --( co_impactYears[[#This Row],[sector_id]] = data_scaledImpacts[sector] ) ) &gt; 0, "", controlTables!D$48  )</calculatedColumnFormula>
    </tableColumn>
    <tableColumn id="5" xr3:uid="{EB302892-BCFD-4CA5-B470-8D81C8E73DDE}" name="2010" dataDxfId="203" totalsRowDxfId="202">
      <calculatedColumnFormula array="1" xml:space="preserve"> IF( SUMPRODUCT( --( VALUE( controlTables!E$48 ) = data_scaledImpacts[impactYear] ), --( co_impactYears[[#This Row],[sector_id]] = data_scaledImpacts[sector] ) ) &gt; 0, VALUE( controlTables!E$48 ), "" )</calculatedColumnFormula>
    </tableColumn>
    <tableColumn id="6" xr3:uid="{FADA0A2C-2C06-4E27-9064-B329CB26787D}" name="2090" dataDxfId="201" totalsRowDxfId="200">
      <calculatedColumnFormula array="1" xml:space="preserve"> IF( SUMPRODUCT( --( VALUE( controlTables!F$48 ) = data_scaledImpacts[impactYear] ), --( co_impactYears[[#This Row],[sector_id]] = data_scaledImpacts[sector] ) ) &gt; 0, VALUE( controlTables!F$48 ),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5:U168" totalsRowShown="0" headerRowDxfId="199" dataDxfId="198">
  <autoFilter ref="B125:U168" xr:uid="{E446364F-959A-4BFF-80B5-CD65050C4865}"/>
  <sortState xmlns:xlrd2="http://schemas.microsoft.com/office/spreadsheetml/2017/richdata2" ref="B126:U168">
    <sortCondition ref="C126:C168"/>
    <sortCondition ref="D126:D168"/>
  </sortState>
  <tableColumns count="20">
    <tableColumn id="1" xr3:uid="{3C0C87EC-3301-4189-A438-330FBC0C23CE}" name="row_id" dataDxfId="197">
      <calculatedColumnFormula xml:space="preserve"> ROW( co_impactTypes[[#This Row],[row_id]] ) - ROW(co_impactTypes[[#Headers],[row_id]] )</calculatedColumnFormula>
    </tableColumn>
    <tableColumn id="5" xr3:uid="{695E7B0A-9CCF-4B48-8FB4-7B2C8AC23CA2}" name="sector_id" dataDxfId="196"/>
    <tableColumn id="3" xr3:uid="{AC7D2590-5F6F-4E8A-8395-3ACC925DD65E}" name="impactType_label" dataDxfId="195"/>
    <tableColumn id="2" xr3:uid="{389F4E81-E357-4437-B986-87606739FD52}" name="impactType_id" dataDxfId="194"/>
    <tableColumn id="8" xr3:uid="{535B73E2-6287-4418-B8AA-E50E0120DCC2}" name="impactType_id_excel" dataDxfId="193"/>
    <tableColumn id="7" xr3:uid="{252ECC08-A081-4155-A2E4-6E6953775245}" name="impactType_description" dataDxfId="192"/>
    <tableColumn id="18" xr3:uid="{20E67458-91EF-4192-9F05-0BEE3F89945B}" name="physicalmeasure" dataDxfId="191"/>
    <tableColumn id="6" xr3:uid="{3CFD45D4-B79B-4F80-92FC-337937E46944}" name="physScalarName" dataDxfId="190"/>
    <tableColumn id="9" xr3:uid="{40E9B945-11EE-47C9-B5D8-A41A8FC63734}" name="physAdjName" dataDxfId="189"/>
    <tableColumn id="16" xr3:uid="{5C5AE37A-2086-491F-BF3C-F22CC928E516}" name="damageAdjName" dataDxfId="188"/>
    <tableColumn id="10" xr3:uid="{2A5B466E-A990-49E9-92E3-0103059D4863}" name="econScalarName" dataDxfId="187"/>
    <tableColumn id="11" xr3:uid="{74F77DB7-A970-4C19-A8F9-04E79FC664FD}" name="econMultiplierName" dataDxfId="186"/>
    <tableColumn id="12" xr3:uid="{DA200B1A-95FB-4000-933E-BC048A1E0631}" name="c0" dataDxfId="185"/>
    <tableColumn id="13" xr3:uid="{F6CED4C7-F96B-4766-BD90-7B52A49FAABA}" name="c1" dataDxfId="184"/>
    <tableColumn id="14" xr3:uid="{E36983CA-3DF1-4DD8-A727-E60C1D905346}" name="exp0" dataDxfId="183"/>
    <tableColumn id="15" xr3:uid="{861014FE-4437-4D17-8CED-BC8B72417DD9}" name="year0" dataDxfId="182">
      <calculatedColumnFormula xml:space="preserve"> IF(co_impactTypes[[#This Row],[econMultiplierName]]="None", "N/A", 2010)</calculatedColumnFormula>
    </tableColumn>
    <tableColumn id="4" xr3:uid="{B36EDE81-6CA0-42FB-A8A9-9A4FA4A5EFCA}" name="check_data" dataDxfId="18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3:K204" totalsRowShown="0" headerRowDxfId="177" dataDxfId="176">
  <sortState xmlns:xlrd2="http://schemas.microsoft.com/office/spreadsheetml/2017/richdata2" ref="B174:K202">
    <sortCondition ref="E174:E202"/>
    <sortCondition ref="C174:C202"/>
  </sortState>
  <tableColumns count="10">
    <tableColumn id="1" xr3:uid="{B5AB138C-E49F-456B-8F7B-6A701BD94314}" name="row_id" dataDxfId="175">
      <calculatedColumnFormula xml:space="preserve"> ROW( co_scalarInfo[[#This Row],[row_id]] ) - ROW( co_scalarInfo[[#Headers],[row_id]] )</calculatedColumnFormula>
    </tableColumn>
    <tableColumn id="4" xr3:uid="{057C556C-4A5B-41BF-9EA5-CD5D06EC20A3}" name="scalarName" dataDxfId="174"/>
    <tableColumn id="2" xr3:uid="{11586BC8-9866-411F-AFB1-B54CDBE58BC8}" name="scalarLabel" dataDxfId="173"/>
    <tableColumn id="3" xr3:uid="{59273865-10D7-4E58-A34B-98B12FD27367}" name="scalarType" dataDxfId="172"/>
    <tableColumn id="6" xr3:uid="{44722630-DE32-4127-9D36-E5716D7B6FB1}" name="constant_or_dynamic" dataDxfId="171"/>
    <tableColumn id="7" xr3:uid="{06B55EB3-A830-4A09-BCEF-732F610DB775}" name="national_or_regional" dataDxfId="170"/>
    <tableColumn id="12" xr3:uid="{DA5FA732-C673-49CC-B393-EEDF239C5944}" name="valueYear" dataDxfId="169"/>
    <tableColumn id="9" xr3:uid="{072DFA28-3A99-48D9-9F87-0B9663CC8EBE}" name="dataType" dataDxfId="168"/>
    <tableColumn id="8" xr3:uid="{083C27B7-8723-4638-8D25-C880E916AEB0}" name="notes" dataDxfId="167"/>
    <tableColumn id="10" xr3:uid="{59B283EF-319C-46BD-B32A-C633A7A331B3}" name="scalar_rows" dataDxfId="16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65" dataDxfId="164">
  <tableColumns count="3">
    <tableColumn id="1" xr3:uid="{D7815580-A46D-4035-AF95-6DFB7EDC1C86}" name="row_id" dataDxfId="163">
      <calculatedColumnFormula xml:space="preserve"> ROW( co_constants[[#This Row],[row_id]] ) - ROW( co_constants[[#Headers],[row_id]] )</calculatedColumnFormula>
    </tableColumn>
    <tableColumn id="4" xr3:uid="{7CEFD3F0-E79C-4BEE-B910-4D600E302386}" name="constant" dataDxfId="162"/>
    <tableColumn id="3" xr3:uid="{DB7DDBBB-C95A-4211-819C-B05A5C2E7319}" name="value" dataDxfId="16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9:K121" totalsRowShown="0" headerRowDxfId="160" dataDxfId="159">
  <autoFilter ref="B79:K121" xr:uid="{2B645CB4-F641-4C38-A983-F38F00FA7B52}"/>
  <sortState xmlns:xlrd2="http://schemas.microsoft.com/office/spreadsheetml/2017/richdata2" ref="B80:K121">
    <sortCondition ref="C80:C121"/>
  </sortState>
  <tableColumns count="10">
    <tableColumn id="1" xr3:uid="{1BCFA006-CF85-4F3A-AC79-60916A48ED39}" name="row_id" dataDxfId="158" totalsRowDxfId="157">
      <calculatedColumnFormula xml:space="preserve"> ROW( co_variants[[#This Row],[row_id]] ) - ROW( co_variants[[#Headers],[row_id]] )</calculatedColumnFormula>
    </tableColumn>
    <tableColumn id="18" xr3:uid="{11CBE921-72AF-48C1-82DE-27D30284B810}" name="sector_id" dataDxfId="156" totalsRowDxfId="155"/>
    <tableColumn id="3" xr3:uid="{1A31D87B-CDD5-4D8C-A4C9-8892B2B2C1E8}" name="variant_label" dataDxfId="154" totalsRowDxfId="153"/>
    <tableColumn id="4" xr3:uid="{BD980D22-60C8-4EA5-878C-1F6646D73814}" name="variant_id" dataDxfId="152" totalsRowDxfId="151"/>
    <tableColumn id="2" xr3:uid="{AFC0EA26-897A-4565-AC43-EDE7CD2C7E8A}" name="variant_id_excel" dataDxfId="150" totalsRowDxfId="149"/>
    <tableColumn id="7" xr3:uid="{77C8D2EF-4466-45BD-90C6-9DB11F371760}" name="sectorprimary" dataDxfId="148" totalsRowDxfId="147"/>
    <tableColumn id="6" xr3:uid="{677E6396-DB82-43C2-B1C8-9CF8A385BC06}" name="includeaggregate" dataDxfId="146" totalsRowDxfId="145"/>
    <tableColumn id="19" xr3:uid="{C16D6C81-A98D-4F3D-B812-6AFD7158219C}" name="damageAdjName" dataDxfId="144" totalsRowDxfId="14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2" totalsRowDxfId="14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39" dataDxfId="138">
  <tableColumns count="4">
    <tableColumn id="1" xr3:uid="{B5687CDE-96CA-4DF3-A45A-B2EDE1CC9A93}" name="row_id" dataDxfId="137">
      <calculatedColumnFormula xml:space="preserve"> ROW( co_econMultipliers[[#This Row],[row_id]] ) - ROW( co_econMultipliers[[#Headers],[row_id]] )</calculatedColumnFormula>
    </tableColumn>
    <tableColumn id="4" xr3:uid="{76AF9F40-EEBA-4ABF-82CC-7580151C94E2}" name="econMultiplierName" dataDxfId="136"/>
    <tableColumn id="3" xr3:uid="{BB4C0E23-5864-41DA-8215-7C526A80B49B}" name="econMultiplierDescription" dataDxfId="135"/>
    <tableColumn id="2" xr3:uid="{013806BA-C4E3-46FD-AD7B-D198CFA696CD}" name="valueYear" dataDxfId="13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33" dataDxfId="132">
  <tableColumns count="11">
    <tableColumn id="1" xr3:uid="{66AD6D28-7A41-4AD2-93FD-110433F1C5A5}" name="row_id" dataDxfId="131">
      <calculatedColumnFormula xml:space="preserve"> ROW( co_inputScenarioInfo[[#This Row],[row_id]] ) - ROW( co_inputScenarioInfo[[#Headers],[row_id]] )</calculatedColumnFormula>
    </tableColumn>
    <tableColumn id="4" xr3:uid="{45198473-3D48-41CD-B663-D0AF13813C66}" name="inputName" dataDxfId="130"/>
    <tableColumn id="3" xr3:uid="{E3847F4D-6384-49D5-8156-9EC8E8221B62}" name="inputType" dataDxfId="129"/>
    <tableColumn id="5" xr3:uid="{98CB64F8-23F0-4402-9CE1-03695A07036B}" name="inputDesc" dataDxfId="128"/>
    <tableColumn id="11" xr3:uid="{6767F0F8-BE35-4ED7-8CC4-4EC46910597F}" name="importArgName" dataDxfId="127">
      <calculatedColumnFormula xml:space="preserve"> co_inputScenarioInfo[[#This Row],[inputName]] &amp; "file"</calculatedColumnFormula>
    </tableColumn>
    <tableColumn id="10" xr3:uid="{1DA97935-2C19-401C-B17D-EF908498B36F}" name="tempBinListName" dataDxfId="126">
      <calculatedColumnFormula xml:space="preserve"> co_inputScenarioInfo[[#This Row],[inputName]] &amp; "Input"</calculatedColumnFormula>
    </tableColumn>
    <tableColumn id="2" xr3:uid="{F9249B62-F8E8-46B3-88F1-E8E0903FDD4A}" name="inputUnit" dataDxfId="125"/>
    <tableColumn id="6" xr3:uid="{48BBD66A-C5AD-477C-84C9-E5FFE0D43B87}" name="inputMin" dataDxfId="124"/>
    <tableColumn id="7" xr3:uid="{05D78FF1-5FB5-4CB5-AB55-8F3089B354DC}" name="inputMax" dataDxfId="12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2"/>
    <tableColumn id="9" xr3:uid="{AAA49909-67E1-4978-90ED-573C388A520B}" name="region" dataDxfId="12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0">
  <tableColumns count="5">
    <tableColumn id="1" xr3:uid="{B802A69B-2E07-40A2-ADE9-DCABCB2E04A6}" name="row_id" dataDxfId="119">
      <calculatedColumnFormula xml:space="preserve"> ROW( co_states[[#This Row],[row_id]] ) - ROW( co_states[[#Headers],[row_id]] )</calculatedColumnFormula>
    </tableColumn>
    <tableColumn id="2" xr3:uid="{5B715195-2EAE-439A-84CF-1C26F65065E0}" name="state" dataDxfId="118"/>
    <tableColumn id="3" xr3:uid="{42CA1BFA-BDCF-464B-91DB-4C9663461C1C}" name="postal" dataDxfId="117"/>
    <tableColumn id="4" xr3:uid="{F4F2D0D4-82EF-41DF-B43B-E23CB36CF080}" name="region" dataDxfId="116"/>
    <tableColumn id="5" xr3:uid="{5807F5A8-31A9-4CC5-8FA0-243CB9917CD4}" name="fips" dataDxfId="11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90" totalsRowShown="0" headerRowDxfId="88" dataDxfId="87">
  <autoFilter ref="A1:G149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9" dT="2021-04-02T15:07:48.34" personId="{00000000-0000-0000-0000-000000000000}" id="{B1227AEC-55F2-4D4B-9D62-D8081C156293}">
    <text>Boolean field -- indicates if sector is included in run of R script.</text>
  </threadedComment>
  <threadedComment ref="H19" dT="2021-04-02T15:08:18.98" personId="{00000000-0000-0000-0000-000000000000}" id="{492F094F-8801-4499-80C3-4610B2EB4C3B}">
    <text>Boolean field -- indicates if sector has 2010 and 2090 impact esimates. Corresponds to impact year table below.</text>
  </threadedComment>
  <threadedComment ref="D48" dT="2021-01-25T18:27:33.65" personId="{00000000-0000-0000-0000-000000000000}" id="{40274E0A-9A04-480D-A5E8-2C38F8B3CAD3}">
    <text>Empty values are replaced with "NA" in the R tool.</text>
  </threadedComment>
  <threadedComment ref="E79" dT="2022-09-13T14:35:47.65" personId="{00000000-0000-0000-0000-000000000000}" id="{61FF9366-C253-4143-8900-DE7FDB924463}">
    <text>No spaces in this ID!</text>
  </threadedComment>
  <threadedComment ref="F79" dT="2021-01-25T18:27:05.88" personId="{00000000-0000-0000-0000-000000000000}" id="{542BB73C-7B7B-47C8-9756-BF410F525304}">
    <text>"N/A" is converted to "NA" in the R Tool</text>
  </threadedComment>
  <threadedComment ref="G79"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9" dT="2021-04-02T15:33:36.18" personId="{00000000-0000-0000-0000-000000000000}" id="{3962DDEC-520D-4477-AB4D-6A758B04F9CC}">
    <text>Boolean field -- indicates whether a sector includes sub-impact estimates. See sector table above for list of sub-impact estimates.</text>
  </threadedComment>
  <threadedComment ref="F125" dT="2021-01-25T18:27:53.76" personId="{00000000-0000-0000-0000-000000000000}" id="{46412BAC-F8AA-4C6A-9657-79D004ABECB6}">
    <text>Empty values are replaced with "NA" in the R tool.</text>
  </threadedComment>
  <threadedComment ref="R125" dT="2021-01-25T18:07:09.78" personId="{00000000-0000-0000-0000-000000000000}" id="{CEA9DDE6-3350-41DC-8E42-E0F398550E2B}">
    <text>Check presence of data in the table.</text>
  </threadedComment>
  <threadedComment ref="I143" dT="2021-04-29T18:53:19.81" personId="{00000000-0000-0000-0000-000000000000}" id="{B944EC01-36D0-40EC-99E6-BA8270B055AE}">
    <text>May add a physical scalar in the future - total regional property value</text>
  </threadedComment>
  <threadedComment ref="I143" dT="2021-04-29T18:53:45.21" personId="{00000000-0000-0000-0000-000000000000}" id="{D0F6E8CF-0610-4E7B-8A56-BC47CE157016}" parentId="{B944EC01-36D0-40EC-99E6-BA8270B055AE}">
    <text>For now keeping it without, for consistency with coastal properties</text>
  </threadedComment>
  <threadedComment ref="F17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6" Type="http://schemas.microsoft.com/office/2017/10/relationships/threadedComment" Target="../threadedComments/threadedComment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comments" Target="../comments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1"/>
  <sheetViews>
    <sheetView topLeftCell="B1" workbookViewId="0">
      <pane xSplit="2" topLeftCell="D1" activePane="topRight" state="frozen"/>
      <selection activeCell="B1" sqref="B1"/>
      <selection pane="topRight" activeCell="H16" sqref="H16"/>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19</v>
      </c>
      <c r="H4" s="62">
        <f ca="1" xml:space="preserve"> MAX( INDIRECT( _xlfn.TEXTJOIN( "", , doc_tablesList[[#This Row],[Table Name]], "[", doc_tablesList[[#This Row],[ID_columnName]], "]" ) ) )</f>
        <v>25</v>
      </c>
      <c r="I4" s="62">
        <f ca="1" xml:space="preserve"> doc_tablesList[[#This Row],[Number of Data Rows]] + doc_tablesList[[#This Row],[Header Row]]</f>
        <v>44</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1489</v>
      </c>
      <c r="I5" s="62">
        <f ca="1" xml:space="preserve"> doc_tablesList[[#This Row],[Number of Data Rows]] + doc_tablesList[[#This Row],[Header Row]]</f>
        <v>1490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79</v>
      </c>
      <c r="H9" s="62">
        <f ca="1" xml:space="preserve"> MAX( INDIRECT( _xlfn.TEXTJOIN( "", , doc_tablesList[[#This Row],[Table Name]], "[", doc_tablesList[[#This Row],[ID_columnName]], "]" ) ) )</f>
        <v>42</v>
      </c>
      <c r="I9" s="62">
        <f ca="1" xml:space="preserve"> doc_tablesList[[#This Row],[Number of Data Rows]] + doc_tablesList[[#This Row],[Header Row]]</f>
        <v>121</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48</v>
      </c>
      <c r="H10" s="62">
        <f ca="1" xml:space="preserve"> MAX( INDIRECT( _xlfn.TEXTJOIN( "", , doc_tablesList[[#This Row],[Table Name]], "[", doc_tablesList[[#This Row],[ID_columnName]], "]" ) ) )</f>
        <v>25</v>
      </c>
      <c r="I10" s="62">
        <f ca="1" xml:space="preserve"> doc_tablesList[[#This Row],[Number of Data Rows]] + doc_tablesList[[#This Row],[Header Row]]</f>
        <v>73</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125</v>
      </c>
      <c r="H11" s="62">
        <f ca="1" xml:space="preserve"> MAX( INDIRECT( _xlfn.TEXTJOIN( "", , doc_tablesList[[#This Row],[Table Name]], "[", doc_tablesList[[#This Row],[ID_columnName]], "]" ) ) )</f>
        <v>43</v>
      </c>
      <c r="I11" s="62">
        <f ca="1" xml:space="preserve"> doc_tablesList[[#This Row],[Number of Data Rows]] + doc_tablesList[[#This Row],[Header Row]]</f>
        <v>168</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173</v>
      </c>
      <c r="H12" s="62">
        <f ca="1" xml:space="preserve"> MAX( INDIRECT( _xlfn.TEXTJOIN( "", , doc_tablesList[[#This Row],[Table Name]], "[", doc_tablesList[[#This Row],[ID_columnName]], "]" ) ) )</f>
        <v>31</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row r="21" spans="2:14" x14ac:dyDescent="0.35">
      <c r="B21" s="7">
        <f xml:space="preserve"> ROW( doc_tablesList[[#This Row],[ID]] ) - ROW(doc_tablesList[[#Headers],[ID]] )</f>
        <v>18</v>
      </c>
      <c r="C21" s="14" t="s">
        <v>1422</v>
      </c>
      <c r="D21" s="58">
        <v>1</v>
      </c>
      <c r="E21" s="14" t="s">
        <v>971</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1423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1"/>
  <sheetViews>
    <sheetView tabSelected="1" topLeftCell="A21" zoomScale="90" zoomScaleNormal="90" workbookViewId="0">
      <pane xSplit="3" topLeftCell="D1" activePane="topRight" state="frozen"/>
      <selection pane="topRight" activeCell="G33" sqref="G33"/>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3" spans="1:21" x14ac:dyDescent="0.3">
      <c r="C13" s="85" t="str">
        <f ca="1" xml:space="preserve"> OFFSET( INDIRECT( ADDRESS( ROW( co_states[[#Headers],[row_id]] ), COLUMN( co_states[[#Headers],[row_id]] ), , , ) ), -2, , 1, 1 )</f>
        <v>States</v>
      </c>
      <c r="D13" s="4" t="s">
        <v>1421</v>
      </c>
    </row>
    <row r="15" spans="1:21" ht="21" x14ac:dyDescent="0.3">
      <c r="C15" s="89" t="s">
        <v>1025</v>
      </c>
      <c r="D15" s="86" t="s">
        <v>1031</v>
      </c>
      <c r="E15" s="87" t="s">
        <v>1016</v>
      </c>
      <c r="F15" s="88" t="s">
        <v>1024</v>
      </c>
    </row>
    <row r="17" spans="1:21" ht="14.5" x14ac:dyDescent="0.35">
      <c r="A17" s="47"/>
      <c r="B17" s="48" t="s">
        <v>238</v>
      </c>
      <c r="C17" s="48"/>
      <c r="D17" s="48"/>
      <c r="E17" s="48"/>
      <c r="F17" s="48"/>
      <c r="G17" s="48"/>
      <c r="H17" s="48"/>
      <c r="I17" s="48"/>
      <c r="J17" s="48"/>
      <c r="K17" s="48"/>
      <c r="L17" s="48"/>
      <c r="M17" s="48"/>
      <c r="N17" s="48"/>
      <c r="O17" s="48"/>
      <c r="P17" s="48"/>
      <c r="Q17" s="48"/>
      <c r="R17" s="48"/>
      <c r="S17" s="48"/>
      <c r="T17" s="48"/>
      <c r="U17" s="48"/>
    </row>
    <row r="19" spans="1:21" ht="39" x14ac:dyDescent="0.3">
      <c r="B19" s="49" t="s">
        <v>780</v>
      </c>
      <c r="C19" s="50" t="s">
        <v>219</v>
      </c>
      <c r="D19" s="49" t="s">
        <v>247</v>
      </c>
      <c r="E19" s="51" t="s">
        <v>760</v>
      </c>
      <c r="F19" s="51" t="s">
        <v>890</v>
      </c>
      <c r="G19" s="51" t="s">
        <v>1424</v>
      </c>
      <c r="H19" s="51" t="s">
        <v>1036</v>
      </c>
      <c r="I19" s="51" t="s">
        <v>1245</v>
      </c>
      <c r="J19" s="51" t="s">
        <v>831</v>
      </c>
      <c r="K19" s="51" t="s">
        <v>832</v>
      </c>
      <c r="L19" s="51" t="s">
        <v>1246</v>
      </c>
      <c r="M19" s="51" t="s">
        <v>975</v>
      </c>
      <c r="N19" s="51" t="s">
        <v>976</v>
      </c>
      <c r="O19" s="51" t="s">
        <v>977</v>
      </c>
      <c r="P19" s="51" t="s">
        <v>978</v>
      </c>
      <c r="Q19" s="51" t="s">
        <v>1023</v>
      </c>
    </row>
    <row r="20" spans="1:21" ht="21" x14ac:dyDescent="0.3">
      <c r="B20" s="118">
        <f xml:space="preserve"> ROW( co_sectors[[#This Row],[row_id]] ) - ROW( co_sectors[[#Headers],[row_id]] )</f>
        <v>1</v>
      </c>
      <c r="C20" s="119" t="s">
        <v>559</v>
      </c>
      <c r="D20" s="54" t="s">
        <v>762</v>
      </c>
      <c r="E20" s="27">
        <v>1</v>
      </c>
      <c r="F20" s="30" t="s">
        <v>819</v>
      </c>
      <c r="G20" s="30">
        <v>1</v>
      </c>
      <c r="H20" s="52" cm="1">
        <f t="array" ref="H20" xml:space="preserve"> IF( AND( SUMPRODUCT( co_impactYears[2010], --( co_sectors[[#This Row],[sector_id]] = co_impactYears[sector_id] ) ) &gt; 1,  SUMPRODUCT( co_impactYears[2090], --( co_sectors[[#This Row],[sector_id]] = co_impactYears[sector_id] ) ) &gt; 1 ), 1, 0 )</f>
        <v>0</v>
      </c>
      <c r="I20" s="68" t="str" cm="1">
        <f t="array" aca="1" ref="I20" ca="1" xml:space="preserve"> _xlfn.TEXTJOIN( ", ", 1,
  IF( OFFSET( INDIRECT( ADDRESS( ROW( co_variants[[#Headers],[row_id]] ),  COLUMN( co_variants[[#Headers],[sector_id]] ), , , "controlTables" ) ), 1, 0, MAX( co_variants[row_id] ), 1 ) = co_sectors[[#This Row],[sector_id]], co_variants[variant_label], "" )
)</f>
        <v>2011 Emissions, 2040 Emissions</v>
      </c>
      <c r="J20" s="68" t="str">
        <f ca="1" xml:space="preserve"> _xlfn.TEXTJOIN( ", ", 1,
  OFFSET( INDIRECT( ADDRESS( ROW( INDEX( co_impactYears[sector_id], MATCH( co_sectors[[#This Row],[sector_id]], co_impactYears[sector_id], 0 ) ) ),  COLUMN( co_impactYears[[#Headers],[sector_id]] ), , , "controlTables" ) ), 0, 1, 1, 4 )
)</f>
        <v>N/A</v>
      </c>
      <c r="K20" s="68" t="str" cm="1">
        <f t="array" aca="1" ref="K20" ca="1" xml:space="preserve">  _xlfn.TEXTJOIN( ", ", 1,
  IF( OFFSET( INDIRECT( ADDRESS( ROW( co_impactTypes[[#Headers],[row_id]] ),  COLUMN( co_impactTypes[[#Headers],[sector_id]] ), , , "controlTables" ) ), 1, 0, MAX( co_impactTypes[row_id] ), 1 ) = co_sectors[[#This Row],[sector_id]], co_impactTypes[impactType_label], "" )
)</f>
        <v>Ozone, PM2.5</v>
      </c>
      <c r="L20" s="68" cm="1">
        <f t="array" ref="L20" xml:space="preserve"> SUMPRODUCT( --( co_sectors[[#This Row],[sector_id]] = co_variants[sector_id] ) )</f>
        <v>2</v>
      </c>
      <c r="M20" s="68" cm="1">
        <f t="array" ref="M20" xml:space="preserve"> SUMPRODUCT( --( co_sectors[[#This Row],[sector_id]] = co_impactTypes[sector_id] ) )</f>
        <v>2</v>
      </c>
      <c r="N20" s="68" cm="1">
        <f t="array" ref="N20" xml:space="preserve"> IF( INDEX( co_impactYears[N/A], MATCH( 1, --( co_sectors[[#This Row],[sector_id]] = co_impactYears[sector_id] ), 0 ) ) = "N/A", 1, 2 )</f>
        <v>1</v>
      </c>
      <c r="O20" s="68" cm="1">
        <f t="array" ref="O20" xml:space="preserve"> INDEX( co_modelTypes[Number of models], MATCH( 1, --( co_sectors[[#This Row],[modelType]] = co_modelTypes[modelType_id] ), 0 ) ) + IF( co_sectors[[#This Row],[modelType]] = "gcm", 1, 0 )</f>
        <v>9</v>
      </c>
      <c r="P20" s="68" cm="1">
        <f t="array" ref="P20" xml:space="preserve"> INDEX( co_modelTypes[Number of levels], MATCH( 1, --( co_sectors[[#This Row],[modelType]] = co_modelTypes[modelType_id] ), 0 ) )</f>
        <v>7</v>
      </c>
      <c r="Q20" s="68">
        <f xml:space="preserve"> PRODUCT( co_sectors[[#This Row],[Number of variants]:[Number of levels]] )</f>
        <v>252</v>
      </c>
    </row>
    <row r="21" spans="1:21" x14ac:dyDescent="0.3">
      <c r="B21" s="120">
        <f xml:space="preserve"> ROW( co_sectors[[#This Row],[row_id]] ) - ROW( co_sectors[[#Headers],[row_id]] )</f>
        <v>2</v>
      </c>
      <c r="C21" s="121" t="s">
        <v>1005</v>
      </c>
      <c r="D21" s="55" t="s">
        <v>1007</v>
      </c>
      <c r="E21" s="28">
        <v>1</v>
      </c>
      <c r="F21" s="31" t="s">
        <v>819</v>
      </c>
      <c r="G21" s="31">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N/A</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N/A</v>
      </c>
      <c r="L21" s="68" cm="1">
        <f t="array" ref="L21" xml:space="preserve"> SUMPRODUCT( --( co_sectors[[#This Row],[sector_id]] = co_variants[sector_id] ) )</f>
        <v>1</v>
      </c>
      <c r="M21" s="68" cm="1">
        <f t="array" ref="M21" xml:space="preserve"> SUMPRODUCT( --( co_sectors[[#This Row],[sector_id]] = co_impactTypes[sector_id] ) )</f>
        <v>1</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63</v>
      </c>
    </row>
    <row r="22" spans="1:21" ht="31.5" x14ac:dyDescent="0.3">
      <c r="B22" s="122">
        <f xml:space="preserve"> ROW( co_sectors[[#This Row],[row_id]] ) - ROW( co_sectors[[#Headers],[row_id]] )</f>
        <v>3</v>
      </c>
      <c r="C22" s="119" t="s">
        <v>1248</v>
      </c>
      <c r="D22" s="54" t="s">
        <v>1263</v>
      </c>
      <c r="E22" s="27">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3</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189</v>
      </c>
    </row>
    <row r="23" spans="1:21" ht="21" x14ac:dyDescent="0.3">
      <c r="B23" s="122">
        <f xml:space="preserve"> ROW( co_sectors[[#This Row],[row_id]] ) - ROW( co_sectors[[#Headers],[row_id]] )</f>
        <v>4</v>
      </c>
      <c r="C23" s="119" t="s">
        <v>1229</v>
      </c>
      <c r="D23" s="54" t="s">
        <v>1231</v>
      </c>
      <c r="E23" s="27">
        <v>1</v>
      </c>
      <c r="F23" s="31" t="s">
        <v>819</v>
      </c>
      <c r="G23" s="31">
        <v>0</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3" s="68" cm="1">
        <f t="array" ref="L23" xml:space="preserve"> SUMPRODUCT( --( co_sectors[[#This Row],[sector_id]] = co_variants[sector_id] ) )</f>
        <v>2</v>
      </c>
      <c r="M23" s="68" cm="1">
        <f t="array" ref="M23" xml:space="preserve"> SUMPRODUCT( --( co_sectors[[#This Row],[sector_id]] = co_impactTypes[sector_id] ) )</f>
        <v>4</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504</v>
      </c>
    </row>
    <row r="24" spans="1:21" x14ac:dyDescent="0.3">
      <c r="B24" s="122">
        <f xml:space="preserve"> ROW( co_sectors[[#This Row],[row_id]] ) - ROW( co_sectors[[#Headers],[row_id]] )</f>
        <v>5</v>
      </c>
      <c r="C24" s="119" t="s">
        <v>1230</v>
      </c>
      <c r="D24" s="54" t="s">
        <v>1232</v>
      </c>
      <c r="E24" s="27">
        <v>1</v>
      </c>
      <c r="F24" s="30" t="s">
        <v>819</v>
      </c>
      <c r="G24" s="30">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N/A</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4" s="68" cm="1">
        <f t="array" ref="L24" xml:space="preserve"> SUMPRODUCT( --( co_sectors[[#This Row],[sector_id]] = co_variants[sector_id] ) )</f>
        <v>1</v>
      </c>
      <c r="M24" s="68" cm="1">
        <f t="array" ref="M24" xml:space="preserve"> SUMPRODUCT( --( co_sectors[[#This Row],[sector_id]] = co_impactTypes[sector_id] ) )</f>
        <v>2</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126</v>
      </c>
    </row>
    <row r="25" spans="1:21" ht="31.5" x14ac:dyDescent="0.3">
      <c r="B25" s="122">
        <f xml:space="preserve"> ROW( co_sectors[[#This Row],[row_id]] ) - ROW( co_sectors[[#Headers],[row_id]] )</f>
        <v>6</v>
      </c>
      <c r="C25" s="123" t="s">
        <v>1159</v>
      </c>
      <c r="D25" s="113" t="s">
        <v>1160</v>
      </c>
      <c r="E25" s="114">
        <v>1</v>
      </c>
      <c r="F25" s="109" t="s">
        <v>819</v>
      </c>
      <c r="G25" s="109">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N/A</v>
      </c>
      <c r="L25" s="68" cm="1">
        <f t="array" ref="L25" xml:space="preserve"> SUMPRODUCT( --( co_sectors[[#This Row],[sector_id]] = co_variants[sector_id] ) )</f>
        <v>3</v>
      </c>
      <c r="M25" s="68" cm="1">
        <f t="array" ref="M25" xml:space="preserve"> SUMPRODUCT( --( co_sectors[[#This Row],[sector_id]] = co_impactTypes[sector_id] ) )</f>
        <v>1</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189</v>
      </c>
    </row>
    <row r="26" spans="1:21" ht="31.5" x14ac:dyDescent="0.3">
      <c r="B26" s="122">
        <f xml:space="preserve"> ROW( co_sectors[[#This Row],[row_id]] ) - ROW( co_sectors[[#Headers],[row_id]] )</f>
        <v>7</v>
      </c>
      <c r="C26" s="119" t="s">
        <v>86</v>
      </c>
      <c r="D26" s="54" t="s">
        <v>198</v>
      </c>
      <c r="E26" s="27">
        <v>1</v>
      </c>
      <c r="F26" s="31" t="s">
        <v>818</v>
      </c>
      <c r="G26" s="31">
        <v>0</v>
      </c>
      <c r="H26" s="53"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6</v>
      </c>
      <c r="P26" s="68" cm="1">
        <f t="array" ref="P26" xml:space="preserve"> INDEX( co_modelTypes[Number of levels], MATCH( 1, --( co_sectors[[#This Row],[modelType]] = co_modelTypes[modelType_id] ), 0 ) )</f>
        <v>6</v>
      </c>
      <c r="Q26" s="68">
        <f xml:space="preserve"> PRODUCT( co_sectors[[#This Row],[Number of variants]:[Number of levels]] )</f>
        <v>108</v>
      </c>
    </row>
    <row r="27" spans="1:21" x14ac:dyDescent="0.3">
      <c r="B27" s="122">
        <f xml:space="preserve"> ROW( co_sectors[[#This Row],[row_id]] ) - ROW( co_sectors[[#Headers],[row_id]] )</f>
        <v>8</v>
      </c>
      <c r="C27" s="124" t="s">
        <v>220</v>
      </c>
      <c r="D27" s="54" t="s">
        <v>1004</v>
      </c>
      <c r="E27" s="28">
        <v>1</v>
      </c>
      <c r="F27" s="30" t="s">
        <v>819</v>
      </c>
      <c r="G27" s="30">
        <v>0</v>
      </c>
      <c r="H27" s="52"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N/A</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1</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9</v>
      </c>
      <c r="P27" s="68" cm="1">
        <f t="array" ref="P27" xml:space="preserve"> INDEX( co_modelTypes[Number of levels], MATCH( 1, --( co_sectors[[#This Row],[modelType]] = co_modelTypes[modelType_id] ), 0 ) )</f>
        <v>7</v>
      </c>
      <c r="Q27" s="68">
        <f xml:space="preserve"> PRODUCT( co_sectors[[#This Row],[Number of variants]:[Number of levels]] )</f>
        <v>63</v>
      </c>
    </row>
    <row r="28" spans="1:21" ht="31.5" x14ac:dyDescent="0.3">
      <c r="B28" s="122">
        <f xml:space="preserve"> ROW( co_sectors[[#This Row],[row_id]] ) - ROW( co_sectors[[#Headers],[row_id]] )</f>
        <v>9</v>
      </c>
      <c r="C28" s="124" t="s">
        <v>1002</v>
      </c>
      <c r="D28" s="54" t="s">
        <v>1001</v>
      </c>
      <c r="E28" s="28">
        <v>1</v>
      </c>
      <c r="F28" s="30" t="s">
        <v>819</v>
      </c>
      <c r="G28" s="30">
        <v>1</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3</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189</v>
      </c>
    </row>
    <row r="29" spans="1:21" ht="21" x14ac:dyDescent="0.3">
      <c r="B29" s="122">
        <f xml:space="preserve"> ROW( co_sectors[[#This Row],[row_id]] ) - ROW( co_sectors[[#Headers],[row_id]] )</f>
        <v>10</v>
      </c>
      <c r="C29" s="119" t="s">
        <v>17</v>
      </c>
      <c r="D29" s="54" t="s">
        <v>199</v>
      </c>
      <c r="E29" s="27">
        <v>1</v>
      </c>
      <c r="F29" s="30" t="s">
        <v>819</v>
      </c>
      <c r="G29" s="30">
        <v>0</v>
      </c>
      <c r="H29" s="52" cm="1">
        <f t="array" ref="H29" xml:space="preserve"> IF( AND( SUMPRODUCT( co_impactYears[2010], --( co_sectors[[#This Row],[sector_id]] = co_impactYears[sector_id] ) ) &gt; 1,  SUMPRODUCT( co_impactYears[2090], --( co_sectors[[#This Row],[sector_id]] = co_impactYears[sector_id] ) ) &gt; 1 ), 1, 0 )</f>
        <v>1</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29" s="68" t="str">
        <f ca="1" xml:space="preserve"> _xlfn.TEXTJOIN( ", ", 1,
  OFFSET( INDIRECT( ADDRESS( ROW( INDEX( co_impactYears[sector_id], MATCH( co_sectors[[#This Row],[sector_id]], co_impactYears[sector_id], 0 ) ) ),  COLUMN( co_impactYears[[#Headers],[sector_id]] ), , , "controlTables" ) ), 0, 1, 1, 4 )
)</f>
        <v>2010, 2090</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Cold, Hot</v>
      </c>
      <c r="L29" s="68" cm="1">
        <f t="array" ref="L29" xml:space="preserve"> SUMPRODUCT( --( co_sectors[[#This Row],[sector_id]] = co_variants[sector_id] ) )</f>
        <v>2</v>
      </c>
      <c r="M29" s="68" cm="1">
        <f t="array" ref="M29" xml:space="preserve"> SUMPRODUCT( --( co_sectors[[#This Row],[sector_id]] = co_impactTypes[sector_id] ) )</f>
        <v>2</v>
      </c>
      <c r="N29" s="68" cm="1">
        <f t="array" ref="N29" xml:space="preserve"> IF( INDEX( co_impactYears[N/A], MATCH( 1, --( co_sectors[[#This Row],[sector_id]] = co_impactYears[sector_id] ), 0 ) ) = "N/A", 1, 2 )</f>
        <v>2</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504</v>
      </c>
    </row>
    <row r="30" spans="1:21" ht="42" x14ac:dyDescent="0.3">
      <c r="B30" s="122">
        <f xml:space="preserve"> ROW( co_sectors[[#This Row],[row_id]] ) - ROW( co_sectors[[#Headers],[row_id]] )</f>
        <v>11</v>
      </c>
      <c r="C30" s="119" t="s">
        <v>221</v>
      </c>
      <c r="D30" s="54" t="s">
        <v>222</v>
      </c>
      <c r="E30" s="27">
        <v>1</v>
      </c>
      <c r="F30" s="31" t="s">
        <v>818</v>
      </c>
      <c r="G30" s="31">
        <v>1</v>
      </c>
      <c r="H30" s="53" cm="1">
        <f t="array" ref="H30" xml:space="preserve"> IF( AND( SUMPRODUCT( co_impactYears[2010], --( co_sectors[[#This Row],[sector_id]] = co_impactYears[sector_id] ) ) &gt; 1,  SUMPRODUCT( co_impactYears[2090], --( co_sectors[[#This Row],[sector_id]] = co_impactYears[sector_id] ) ) &gt; 1 ), 1, 0 )</f>
        <v>0</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0" s="68" t="str">
        <f ca="1" xml:space="preserve"> _xlfn.TEXTJOIN( ", ", 1,
  OFFSET( INDIRECT( ADDRESS( ROW( INDEX( co_impactYears[sector_id], MATCH( co_sectors[[#This Row],[sector_id]], co_impactYears[sector_id], 0 ) ) ),  COLUMN( co_impactYears[[#Headers],[sector_id]] ), , , "controlTables" ) ), 0, 1, 1, 4 )
)</f>
        <v>N/A</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N/A</v>
      </c>
      <c r="L30" s="68" cm="1">
        <f t="array" ref="L30" xml:space="preserve"> SUMPRODUCT( --( co_sectors[[#This Row],[sector_id]] = co_variants[sector_id] ) )</f>
        <v>3</v>
      </c>
      <c r="M30" s="68" cm="1">
        <f t="array" ref="M30" xml:space="preserve"> SUMPRODUCT( --( co_sectors[[#This Row],[sector_id]] = co_impactTypes[sector_id] ) )</f>
        <v>1</v>
      </c>
      <c r="N30" s="68" cm="1">
        <f t="array" ref="N30" xml:space="preserve"> IF( INDEX( co_impactYears[N/A], MATCH( 1, --( co_sectors[[#This Row],[sector_id]] = co_impactYears[sector_id] ), 0 ) ) = "N/A", 1, 2 )</f>
        <v>1</v>
      </c>
      <c r="O30" s="68" cm="1">
        <f t="array" ref="O30" xml:space="preserve"> INDEX( co_modelTypes[Number of models], MATCH( 1, --( co_sectors[[#This Row],[modelType]] = co_modelTypes[modelType_id] ), 0 ) ) + IF( co_sectors[[#This Row],[modelType]] = "gcm", 1, 0 )</f>
        <v>6</v>
      </c>
      <c r="P30" s="68" cm="1">
        <f t="array" ref="P30" xml:space="preserve"> INDEX( co_modelTypes[Number of levels], MATCH( 1, --( co_sectors[[#This Row],[modelType]] = co_modelTypes[modelType_id] ), 0 ) )</f>
        <v>6</v>
      </c>
      <c r="Q30" s="68">
        <f xml:space="preserve"> PRODUCT( co_sectors[[#This Row],[Number of variants]:[Number of levels]] )</f>
        <v>108</v>
      </c>
    </row>
    <row r="31" spans="1:21" x14ac:dyDescent="0.3">
      <c r="B31" s="122">
        <f xml:space="preserve"> ROW( co_sectors[[#This Row],[row_id]] ) - ROW( co_sectors[[#Headers],[row_id]] )</f>
        <v>12</v>
      </c>
      <c r="C31" s="119" t="s">
        <v>84</v>
      </c>
      <c r="D31" s="54" t="s">
        <v>1085</v>
      </c>
      <c r="E31" s="27">
        <v>1</v>
      </c>
      <c r="F31" s="31" t="s">
        <v>819</v>
      </c>
      <c r="G31" s="31">
        <v>0</v>
      </c>
      <c r="H31" s="52"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N/A</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1</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9</v>
      </c>
      <c r="P31" s="68" cm="1">
        <f t="array" ref="P31" xml:space="preserve"> INDEX( co_modelTypes[Number of levels], MATCH( 1, --( co_sectors[[#This Row],[modelType]] = co_modelTypes[modelType_id] ), 0 ) )</f>
        <v>7</v>
      </c>
      <c r="Q31" s="68">
        <f xml:space="preserve"> PRODUCT( co_sectors[[#This Row],[Number of variants]:[Number of levels]] )</f>
        <v>63</v>
      </c>
    </row>
    <row r="32" spans="1:21" x14ac:dyDescent="0.3">
      <c r="B32" s="122">
        <f xml:space="preserve"> ROW( co_sectors[[#This Row],[row_id]] ) - ROW( co_sectors[[#Headers],[row_id]] )</f>
        <v>13</v>
      </c>
      <c r="C32" s="119" t="s">
        <v>34</v>
      </c>
      <c r="D32" s="54" t="s">
        <v>34</v>
      </c>
      <c r="E32" s="27">
        <v>1</v>
      </c>
      <c r="F32" s="30" t="s">
        <v>819</v>
      </c>
      <c r="G32" s="30">
        <v>1</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3">
      <c r="B33" s="122">
        <f xml:space="preserve"> ROW( co_sectors[[#This Row],[row_id]] ) - ROW( co_sectors[[#Headers],[row_id]] )</f>
        <v>14</v>
      </c>
      <c r="C33" s="123" t="s">
        <v>223</v>
      </c>
      <c r="D33" s="113" t="s">
        <v>1162</v>
      </c>
      <c r="E33" s="114">
        <v>1</v>
      </c>
      <c r="F33" s="109" t="s">
        <v>819</v>
      </c>
      <c r="G33" s="109">
        <v>0</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3">
      <c r="B34" s="122">
        <f xml:space="preserve"> ROW( co_sectors[[#This Row],[row_id]] ) - ROW( co_sectors[[#Headers],[row_id]] )</f>
        <v>15</v>
      </c>
      <c r="C34" s="124" t="s">
        <v>1312</v>
      </c>
      <c r="D34" s="54" t="s">
        <v>1313</v>
      </c>
      <c r="E34" s="28">
        <v>1</v>
      </c>
      <c r="F34" s="31" t="s">
        <v>819</v>
      </c>
      <c r="G34" s="31">
        <v>1</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ht="31.5" x14ac:dyDescent="0.3">
      <c r="B35" s="120">
        <f xml:space="preserve"> ROW( co_sectors[[#This Row],[row_id]] ) - ROW( co_sectors[[#Headers],[row_id]] )</f>
        <v>16</v>
      </c>
      <c r="C35" s="121" t="s">
        <v>209</v>
      </c>
      <c r="D35" s="55" t="s">
        <v>209</v>
      </c>
      <c r="E35" s="28">
        <v>1</v>
      </c>
      <c r="F35" s="30" t="s">
        <v>819</v>
      </c>
      <c r="G35" s="30">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3</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189</v>
      </c>
    </row>
    <row r="36" spans="1:21" ht="31.5" x14ac:dyDescent="0.3">
      <c r="B36" s="122">
        <f xml:space="preserve"> ROW( co_sectors[[#This Row],[row_id]] ) - ROW( co_sectors[[#Headers],[row_id]] )</f>
        <v>17</v>
      </c>
      <c r="C36" s="119" t="s">
        <v>216</v>
      </c>
      <c r="D36" s="54" t="s">
        <v>216</v>
      </c>
      <c r="E36" s="29">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2" x14ac:dyDescent="0.3">
      <c r="B37" s="120">
        <f xml:space="preserve"> ROW( co_sectors[[#This Row],[row_id]] ) - ROW( co_sectors[[#Headers],[row_id]] )</f>
        <v>18</v>
      </c>
      <c r="C37" s="121" t="s">
        <v>85</v>
      </c>
      <c r="D37" s="55" t="s">
        <v>197</v>
      </c>
      <c r="E37" s="29">
        <v>1</v>
      </c>
      <c r="F37" s="30" t="s">
        <v>819</v>
      </c>
      <c r="G37" s="30">
        <v>0</v>
      </c>
      <c r="H37" s="52" cm="1">
        <f t="array" ref="H37" xml:space="preserve"> IF( AND( SUMPRODUCT( co_impactYears[2010], --( co_sectors[[#This Row],[sector_id]] = co_impactYears[sector_id] ) ) &gt; 1,  SUMPRODUCT( co_impactYears[2090], --( co_sectors[[#This Row],[sector_id]] = co_impactYears[sector_id] ) ) &gt; 1 ), 1, 0 )</f>
        <v>1</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N/A</v>
      </c>
      <c r="J37" s="68" t="str">
        <f ca="1" xml:space="preserve"> _xlfn.TEXTJOIN( ", ", 1,
  OFFSET( INDIRECT( ADDRESS( ROW( INDEX( co_impactYears[sector_id], MATCH( co_sectors[[#This Row],[sector_id]], co_impactYears[sector_id], 0 ) ) ),  COLUMN( co_impactYears[[#Headers],[sector_id]] ), , , "controlTables" ) ), 0, 1, 1, 4 )
)</f>
        <v>2010, 2090</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7" s="68" cm="1">
        <f t="array" ref="L37" xml:space="preserve"> SUMPRODUCT( --( co_sectors[[#This Row],[sector_id]] = co_variants[sector_id] ) )</f>
        <v>1</v>
      </c>
      <c r="M37" s="68" cm="1">
        <f t="array" ref="M37" xml:space="preserve"> SUMPRODUCT( --( co_sectors[[#This Row],[sector_id]] = co_impactTypes[sector_id] ) )</f>
        <v>5</v>
      </c>
      <c r="N37" s="68" cm="1">
        <f t="array" ref="N37" xml:space="preserve"> IF( INDEX( co_impactYears[N/A], MATCH( 1, --( co_sectors[[#This Row],[sector_id]] = co_impactYears[sector_id] ), 0 ) ) = "N/A", 1, 2 )</f>
        <v>2</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630</v>
      </c>
    </row>
    <row r="38" spans="1:21" x14ac:dyDescent="0.3">
      <c r="B38" s="122">
        <f xml:space="preserve"> ROW( co_sectors[[#This Row],[row_id]] ) - ROW( co_sectors[[#Headers],[row_id]] )</f>
        <v>19</v>
      </c>
      <c r="C38" s="124" t="s">
        <v>225</v>
      </c>
      <c r="D38" s="54" t="s">
        <v>226</v>
      </c>
      <c r="E38" s="28">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0</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N/A</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N/A</v>
      </c>
      <c r="L38" s="68" cm="1">
        <f t="array" ref="L38" xml:space="preserve"> SUMPRODUCT( --( co_sectors[[#This Row],[sector_id]] = co_variants[sector_id] ) )</f>
        <v>1</v>
      </c>
      <c r="M38" s="68" cm="1">
        <f t="array" ref="M38" xml:space="preserve"> SUMPRODUCT( --( co_sectors[[#This Row],[sector_id]] = co_impactTypes[sector_id] ) )</f>
        <v>1</v>
      </c>
      <c r="N38" s="68" cm="1">
        <f t="array" ref="N38" xml:space="preserve"> IF( INDEX( co_impactYears[N/A], MATCH( 1, --( co_sectors[[#This Row],[sector_id]] = co_impactYears[sector_id] ), 0 ) ) = "N/A", 1, 2 )</f>
        <v>1</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v>
      </c>
    </row>
    <row r="39" spans="1:21" ht="21" x14ac:dyDescent="0.3">
      <c r="B39" s="120">
        <f xml:space="preserve"> ROW( co_sectors[[#This Row],[row_id]] ) - ROW( co_sectors[[#Headers],[row_id]] )</f>
        <v>20</v>
      </c>
      <c r="C39" s="121" t="s">
        <v>983</v>
      </c>
      <c r="D39" s="55" t="s">
        <v>984</v>
      </c>
      <c r="E39" s="29">
        <v>1</v>
      </c>
      <c r="F39" s="31" t="s">
        <v>819</v>
      </c>
      <c r="G39" s="31">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39" s="68" cm="1">
        <f t="array" ref="L39" xml:space="preserve"> SUMPRODUCT( --( co_sectors[[#This Row],[sector_id]] = co_variants[sector_id] ) )</f>
        <v>1</v>
      </c>
      <c r="M39" s="68" cm="1">
        <f t="array" ref="M39" xml:space="preserve"> SUMPRODUCT( --( co_sectors[[#This Row],[sector_id]] = co_impactTypes[sector_id] ) )</f>
        <v>3</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189</v>
      </c>
    </row>
    <row r="40" spans="1:21" ht="21" x14ac:dyDescent="0.3">
      <c r="B40" s="122">
        <f xml:space="preserve"> ROW( co_sectors[[#This Row],[row_id]] ) - ROW( co_sectors[[#Headers],[row_id]] )</f>
        <v>21</v>
      </c>
      <c r="C40" s="124" t="s">
        <v>1306</v>
      </c>
      <c r="D40" s="54" t="s">
        <v>1306</v>
      </c>
      <c r="E40" s="28">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x14ac:dyDescent="0.3">
      <c r="B41" s="120">
        <f xml:space="preserve"> ROW( co_sectors[[#This Row],[row_id]] ) - ROW( co_sectors[[#Headers],[row_id]] )</f>
        <v>22</v>
      </c>
      <c r="C41" s="121" t="s">
        <v>227</v>
      </c>
      <c r="D41" s="55" t="s">
        <v>228</v>
      </c>
      <c r="E41" s="28">
        <v>1</v>
      </c>
      <c r="F41" s="30" t="s">
        <v>819</v>
      </c>
      <c r="G41" s="30">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N/A</v>
      </c>
      <c r="L41" s="68" cm="1">
        <f t="array" ref="L41" xml:space="preserve"> SUMPRODUCT( --( co_sectors[[#This Row],[sector_id]] = co_variants[sector_id] ) )</f>
        <v>1</v>
      </c>
      <c r="M41" s="68" cm="1">
        <f t="array" ref="M41" xml:space="preserve"> SUMPRODUCT( --( co_sectors[[#This Row],[sector_id]] = co_impactTypes[sector_id] ) )</f>
        <v>1</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63</v>
      </c>
    </row>
    <row r="42" spans="1:21" ht="21" x14ac:dyDescent="0.3">
      <c r="B42" s="120">
        <f xml:space="preserve"> ROW( co_sectors[[#This Row],[row_id]] ) - ROW( co_sectors[[#Headers],[row_id]] )</f>
        <v>23</v>
      </c>
      <c r="C42" s="121" t="s">
        <v>761</v>
      </c>
      <c r="D42" s="55" t="s">
        <v>761</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2" s="68" cm="1">
        <f t="array" ref="L42" xml:space="preserve"> SUMPRODUCT( --( co_sectors[[#This Row],[sector_id]] = co_variants[sector_id] ) )</f>
        <v>1</v>
      </c>
      <c r="M42" s="68" cm="1">
        <f t="array" ref="M42" xml:space="preserve"> SUMPRODUCT( --( co_sectors[[#This Row],[sector_id]] = co_impactTypes[sector_id] ) )</f>
        <v>3</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189</v>
      </c>
    </row>
    <row r="43" spans="1:21" x14ac:dyDescent="0.3">
      <c r="B43" s="120">
        <f xml:space="preserve"> ROW( co_sectors[[#This Row],[row_id]] ) - ROW( co_sectors[[#Headers],[row_id]] )</f>
        <v>24</v>
      </c>
      <c r="C43" s="124" t="s">
        <v>1088</v>
      </c>
      <c r="D43" s="54" t="s">
        <v>1098</v>
      </c>
      <c r="E43" s="28">
        <v>1</v>
      </c>
      <c r="F43" s="31" t="s">
        <v>819</v>
      </c>
      <c r="G43" s="31">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N/A</v>
      </c>
      <c r="L43" s="68" cm="1">
        <f t="array" ref="L43" xml:space="preserve"> SUMPRODUCT( --( co_sectors[[#This Row],[sector_id]] = co_variants[sector_id] ) )</f>
        <v>1</v>
      </c>
      <c r="M43" s="68" cm="1">
        <f t="array" ref="M43" xml:space="preserve"> SUMPRODUCT( --( co_sectors[[#This Row],[sector_id]] = co_impactTypes[sector_id] ) )</f>
        <v>1</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63</v>
      </c>
    </row>
    <row r="44" spans="1:21" ht="21" x14ac:dyDescent="0.3">
      <c r="B44" s="120">
        <f xml:space="preserve"> ROW( co_sectors[[#This Row],[row_id]] ) - ROW( co_sectors[[#Headers],[row_id]] )</f>
        <v>25</v>
      </c>
      <c r="C44" s="124" t="s">
        <v>89</v>
      </c>
      <c r="D44" s="54" t="s">
        <v>196</v>
      </c>
      <c r="E44" s="28">
        <v>1</v>
      </c>
      <c r="F44" s="30" t="s">
        <v>819</v>
      </c>
      <c r="G44" s="30">
        <v>0</v>
      </c>
      <c r="H44" s="52" cm="1">
        <f t="array" ref="H44" xml:space="preserve"> IF( AND( SUMPRODUCT( co_impactYears[2010], --( co_sectors[[#This Row],[sector_id]] = co_impactYears[sector_id] ) ) &gt; 1,  SUMPRODUCT( co_impactYears[2090], --( co_sectors[[#This Row],[sector_id]] = co_impactYears[sector_id] ) ) &gt; 1 ), 1, 0 )</f>
        <v>1</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2010, 2090</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4" s="68" cm="1">
        <f t="array" ref="L44" xml:space="preserve"> SUMPRODUCT( --( co_sectors[[#This Row],[sector_id]] = co_variants[sector_id] ) )</f>
        <v>1</v>
      </c>
      <c r="M44" s="68" cm="1">
        <f t="array" ref="M44" xml:space="preserve"> SUMPRODUCT( --( co_sectors[[#This Row],[sector_id]] = co_impactTypes[sector_id] ) )</f>
        <v>3</v>
      </c>
      <c r="N44" s="68" cm="1">
        <f t="array" ref="N44" xml:space="preserve"> IF( INDEX( co_impactYears[N/A], MATCH( 1, --( co_sectors[[#This Row],[sector_id]] = co_impactYears[sector_id] ), 0 ) ) = "N/A", 1, 2 )</f>
        <v>2</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378</v>
      </c>
    </row>
    <row r="46" spans="1:21" ht="14.5" x14ac:dyDescent="0.35">
      <c r="A46" s="47"/>
      <c r="B46" s="48" t="s">
        <v>1028</v>
      </c>
      <c r="C46" s="48"/>
      <c r="D46" s="48"/>
      <c r="E46" s="48"/>
      <c r="F46" s="48"/>
      <c r="G46" s="48"/>
      <c r="H46" s="48"/>
      <c r="I46" s="48"/>
      <c r="J46" s="48"/>
      <c r="K46" s="48"/>
      <c r="L46" s="48"/>
      <c r="M46" s="48"/>
      <c r="N46" s="48"/>
      <c r="O46" s="48"/>
      <c r="P46" s="48"/>
      <c r="Q46" s="48"/>
      <c r="R46" s="48"/>
      <c r="S46" s="48"/>
      <c r="T46" s="48"/>
      <c r="U46" s="48"/>
    </row>
    <row r="48" spans="1:21" x14ac:dyDescent="0.3">
      <c r="B48" s="60" t="s">
        <v>780</v>
      </c>
      <c r="C48" s="60" t="s">
        <v>219</v>
      </c>
      <c r="D48" s="62" t="s">
        <v>201</v>
      </c>
      <c r="E48" s="31" t="s">
        <v>902</v>
      </c>
      <c r="F48" s="62" t="s">
        <v>903</v>
      </c>
    </row>
    <row r="49" spans="2:6" x14ac:dyDescent="0.3">
      <c r="B49" s="7">
        <f xml:space="preserve"> ROW( co_impactYears[[#This Row],[row_id]] ) - ROW(co_impactYears[[#Headers],[row_id]] )</f>
        <v>1</v>
      </c>
      <c r="C49" s="14" t="s">
        <v>559</v>
      </c>
      <c r="D49" s="62" t="str" cm="1">
        <f t="array" ref="D49" xml:space="preserve"> IF( SUMPRODUCT( --( VALUE( controlTables!E$48 ) = data_scaledImpacts[impactYear] ), --( co_impactYears[[#This Row],[sector_id]] = data_scaledImpacts[sector] ) ) &gt; 0, "", controlTables!D$48  )</f>
        <v>N/A</v>
      </c>
      <c r="E49" s="31" t="str" cm="1">
        <f t="array" ref="E49" xml:space="preserve"> IF( SUMPRODUCT( --( VALUE( controlTables!E$48 ) = data_scaledImpacts[impactYear] ), --( co_impactYears[[#This Row],[sector_id]] = data_scaledImpacts[sector] ) ) &gt; 0, VALUE( controlTables!E$48 ), "" )</f>
        <v/>
      </c>
      <c r="F49" s="62" t="str" cm="1">
        <f t="array" ref="F49" xml:space="preserve"> IF( SUMPRODUCT( --( VALUE( controlTables!F$48 ) = data_scaledImpacts[impactYear] ), --( co_impactYears[[#This Row],[sector_id]] = data_scaledImpacts[sector] ) ) &gt; 0, VALUE( controlTables!F$48 ), "" )</f>
        <v/>
      </c>
    </row>
    <row r="50" spans="2:6" x14ac:dyDescent="0.3">
      <c r="B50" s="7">
        <f xml:space="preserve"> ROW( co_impactYears[[#This Row],[row_id]] ) - ROW(co_impactYears[[#Headers],[row_id]] )</f>
        <v>2</v>
      </c>
      <c r="C50" s="14" t="s">
        <v>1005</v>
      </c>
      <c r="D50" s="62" t="str" cm="1">
        <f t="array" ref="D50" xml:space="preserve"> IF( SUMPRODUCT( --( VALUE( controlTables!E$48 ) = data_scaledImpacts[impactYear] ), --( co_impactYears[[#This Row],[sector_id]] = data_scaledImpacts[sector] ) ) &gt; 0, "", controlTables!D$48  )</f>
        <v>N/A</v>
      </c>
      <c r="E50" s="31" t="str" cm="1">
        <f t="array" ref="E50" xml:space="preserve"> IF( SUMPRODUCT( --( VALUE( controlTables!E$48 ) = data_scaledImpacts[impactYear] ), --( co_impactYears[[#This Row],[sector_id]] = data_scaledImpacts[sector] ) ) &gt; 0, VALUE( controlTables!E$48 ), "" )</f>
        <v/>
      </c>
      <c r="F50" s="62" t="str" cm="1">
        <f t="array" ref="F50" xml:space="preserve"> IF( SUMPRODUCT( --( VALUE( controlTables!F$48 ) = data_scaledImpacts[impactYear] ), --( co_impactYears[[#This Row],[sector_id]] = data_scaledImpacts[sector] ) ) &gt; 0, VALUE( controlTables!F$48 ), "" )</f>
        <v/>
      </c>
    </row>
    <row r="51" spans="2:6" x14ac:dyDescent="0.3">
      <c r="B51" s="7">
        <f xml:space="preserve"> ROW( co_impactYears[[#This Row],[row_id]] ) - ROW(co_impactYears[[#Headers],[row_id]] )</f>
        <v>3</v>
      </c>
      <c r="C51" s="14" t="s">
        <v>1248</v>
      </c>
      <c r="D51" s="62" t="str" cm="1">
        <f t="array" ref="D51" xml:space="preserve"> IF( SUMPRODUCT( --( VALUE( controlTables!E$48 ) = data_scaledImpacts[impactYear] ), --( co_impactYears[[#This Row],[sector_id]] = data_scaledImpacts[sector] ) ) &gt; 0, "", controlTables!D$48  )</f>
        <v>N/A</v>
      </c>
      <c r="E51" s="31" t="str" cm="1">
        <f t="array" ref="E51" xml:space="preserve"> IF( SUMPRODUCT( --( VALUE( controlTables!E$48 ) = data_scaledImpacts[impactYear] ), --( co_impactYears[[#This Row],[sector_id]] = data_scaledImpacts[sector] ) ) &gt; 0, VALUE( controlTables!E$48 ), "" )</f>
        <v/>
      </c>
      <c r="F51" s="62" t="str" cm="1">
        <f t="array" ref="F51" xml:space="preserve"> IF( SUMPRODUCT( --( VALUE( controlTables!F$48 ) = data_scaledImpacts[impactYear] ), --( co_impactYears[[#This Row],[sector_id]] = data_scaledImpacts[sector] ) ) &gt; 0, VALUE( controlTables!F$48 ), "" )</f>
        <v/>
      </c>
    </row>
    <row r="52" spans="2:6" x14ac:dyDescent="0.3">
      <c r="B52" s="7">
        <f xml:space="preserve"> ROW( co_impactYears[[#This Row],[row_id]] ) - ROW(co_impactYears[[#Headers],[row_id]] )</f>
        <v>4</v>
      </c>
      <c r="C52" s="14" t="s">
        <v>1229</v>
      </c>
      <c r="D52" s="62" t="str" cm="1">
        <f t="array" ref="D52" xml:space="preserve"> IF( SUMPRODUCT( --( VALUE( controlTables!E$48 ) = data_scaledImpacts[impactYear] ), --( co_impactYears[[#This Row],[sector_id]] = data_scaledImpacts[sector] ) ) &gt; 0, "", controlTables!D$48  )</f>
        <v>N/A</v>
      </c>
      <c r="E52" s="31" t="str" cm="1">
        <f t="array" ref="E52" xml:space="preserve"> IF( SUMPRODUCT( --( VALUE( controlTables!E$48 ) = data_scaledImpacts[impactYear] ), --( co_impactYears[[#This Row],[sector_id]] = data_scaledImpacts[sector] ) ) &gt; 0, VALUE( controlTables!E$48 ), "" )</f>
        <v/>
      </c>
      <c r="F52" s="62" t="str" cm="1">
        <f t="array" ref="F52" xml:space="preserve"> IF( SUMPRODUCT( --( VALUE( controlTables!F$48 ) = data_scaledImpacts[impactYear] ), --( co_impactYears[[#This Row],[sector_id]] = data_scaledImpacts[sector] ) ) &gt; 0, VALUE( controlTables!F$48 ), "" )</f>
        <v/>
      </c>
    </row>
    <row r="53" spans="2:6" x14ac:dyDescent="0.3">
      <c r="B53" s="7">
        <f xml:space="preserve"> ROW( co_impactYears[[#This Row],[row_id]] ) - ROW(co_impactYears[[#Headers],[row_id]] )</f>
        <v>5</v>
      </c>
      <c r="C53" s="14" t="s">
        <v>1230</v>
      </c>
      <c r="D53" s="62" t="str" cm="1">
        <f t="array" ref="D53" xml:space="preserve"> IF( SUMPRODUCT( --( VALUE( controlTables!E$48 ) = data_scaledImpacts[impactYear] ), --( co_impactYears[[#This Row],[sector_id]] = data_scaledImpacts[sector] ) ) &gt; 0, "", controlTables!D$48  )</f>
        <v>N/A</v>
      </c>
      <c r="E53" s="31" t="str" cm="1">
        <f t="array" ref="E53" xml:space="preserve"> IF( SUMPRODUCT( --( VALUE( controlTables!E$48 ) = data_scaledImpacts[impactYear] ), --( co_impactYears[[#This Row],[sector_id]] = data_scaledImpacts[sector] ) ) &gt; 0, VALUE( controlTables!E$48 ), "" )</f>
        <v/>
      </c>
      <c r="F53" s="62" t="str" cm="1">
        <f t="array" ref="F53" xml:space="preserve"> IF( SUMPRODUCT( --( VALUE( controlTables!F$48 ) = data_scaledImpacts[impactYear] ), --( co_impactYears[[#This Row],[sector_id]] = data_scaledImpacts[sector] ) ) &gt; 0, VALUE( controlTables!F$48 ), "" )</f>
        <v/>
      </c>
    </row>
    <row r="54" spans="2:6" x14ac:dyDescent="0.3">
      <c r="B54" s="7">
        <f xml:space="preserve"> ROW( co_impactYears[[#This Row],[row_id]] ) - ROW(co_impactYears[[#Headers],[row_id]] )</f>
        <v>6</v>
      </c>
      <c r="C54" s="14" t="s">
        <v>1159</v>
      </c>
      <c r="D54" s="62" t="str" cm="1">
        <f t="array" ref="D54" xml:space="preserve"> IF( SUMPRODUCT( --( VALUE( controlTables!E$48 ) = data_scaledImpacts[impactYear] ), --( co_impactYears[[#This Row],[sector_id]] = data_scaledImpacts[sector] ) ) &gt; 0, "", controlTables!D$48  )</f>
        <v>N/A</v>
      </c>
      <c r="E54" s="31" t="str" cm="1">
        <f t="array" ref="E54" xml:space="preserve"> IF( SUMPRODUCT( --( VALUE( controlTables!E$48 ) = data_scaledImpacts[impactYear] ), --( co_impactYears[[#This Row],[sector_id]] = data_scaledImpacts[sector] ) ) &gt; 0, VALUE( controlTables!E$48 ), "" )</f>
        <v/>
      </c>
      <c r="F54" s="62" t="str" cm="1">
        <f t="array" ref="F54" xml:space="preserve"> IF( SUMPRODUCT( --( VALUE( controlTables!F$48 ) = data_scaledImpacts[impactYear] ), --( co_impactYears[[#This Row],[sector_id]] = data_scaledImpacts[sector] ) ) &gt; 0, VALUE( controlTables!F$48 ), "" )</f>
        <v/>
      </c>
    </row>
    <row r="55" spans="2:6" x14ac:dyDescent="0.3">
      <c r="B55" s="7">
        <f xml:space="preserve"> ROW( co_impactYears[[#This Row],[row_id]] ) - ROW(co_impactYears[[#Headers],[row_id]] )</f>
        <v>7</v>
      </c>
      <c r="C55" s="14" t="s">
        <v>86</v>
      </c>
      <c r="D55" s="62" t="str" cm="1">
        <f t="array" ref="D55" xml:space="preserve"> IF( SUMPRODUCT( --( VALUE( controlTables!E$48 ) = data_scaledImpacts[impactYear] ), --( co_impactYears[[#This Row],[sector_id]] = data_scaledImpacts[sector] ) ) &gt; 0, "", controlTables!D$48  )</f>
        <v>N/A</v>
      </c>
      <c r="E55" s="31" t="str" cm="1">
        <f t="array" ref="E55" xml:space="preserve"> IF( SUMPRODUCT( --( VALUE( controlTables!E$48 ) = data_scaledImpacts[impactYear] ), --( co_impactYears[[#This Row],[sector_id]] = data_scaledImpacts[sector] ) ) &gt; 0, VALUE( controlTables!E$48 ), "" )</f>
        <v/>
      </c>
      <c r="F55" s="62" t="str" cm="1">
        <f t="array" ref="F55" xml:space="preserve"> IF( SUMPRODUCT( --( VALUE( controlTables!F$48 ) = data_scaledImpacts[impactYear] ), --( co_impactYears[[#This Row],[sector_id]] = data_scaledImpacts[sector] ) ) &gt; 0, VALUE( controlTables!F$48 ), "" )</f>
        <v/>
      </c>
    </row>
    <row r="56" spans="2:6" x14ac:dyDescent="0.3">
      <c r="B56" s="7">
        <f xml:space="preserve"> ROW( co_impactYears[[#This Row],[row_id]] ) - ROW(co_impactYears[[#Headers],[row_id]] )</f>
        <v>8</v>
      </c>
      <c r="C56" s="14" t="s">
        <v>220</v>
      </c>
      <c r="D56" s="62" t="str" cm="1">
        <f t="array" ref="D56" xml:space="preserve"> IF( SUMPRODUCT( --( VALUE( controlTables!E$48 ) = data_scaledImpacts[impactYear] ), --( co_impactYears[[#This Row],[sector_id]] = data_scaledImpacts[sector] ) ) &gt; 0, "", controlTables!D$48  )</f>
        <v>N/A</v>
      </c>
      <c r="E56" s="31" t="str" cm="1">
        <f t="array" ref="E56" xml:space="preserve"> IF( SUMPRODUCT( --( VALUE( controlTables!E$48 ) = data_scaledImpacts[impactYear] ), --( co_impactYears[[#This Row],[sector_id]] = data_scaledImpacts[sector] ) ) &gt; 0, VALUE( controlTables!E$48 ), "" )</f>
        <v/>
      </c>
      <c r="F56" s="62" t="str" cm="1">
        <f t="array" ref="F56" xml:space="preserve"> IF( SUMPRODUCT( --( VALUE( controlTables!F$48 ) = data_scaledImpacts[impactYear] ), --( co_impactYears[[#This Row],[sector_id]] = data_scaledImpacts[sector] ) ) &gt; 0, VALUE( controlTables!F$48 ), "" )</f>
        <v/>
      </c>
    </row>
    <row r="57" spans="2:6" x14ac:dyDescent="0.3">
      <c r="B57" s="7">
        <f xml:space="preserve"> ROW( co_impactYears[[#This Row],[row_id]] ) - ROW(co_impactYears[[#Headers],[row_id]] )</f>
        <v>9</v>
      </c>
      <c r="C57" s="14" t="s">
        <v>1002</v>
      </c>
      <c r="D57" s="62" t="str" cm="1">
        <f t="array" ref="D57" xml:space="preserve"> IF( SUMPRODUCT( --( VALUE( controlTables!E$48 ) = data_scaledImpacts[impactYear] ), --( co_impactYears[[#This Row],[sector_id]] = data_scaledImpacts[sector] ) ) &gt; 0, "", controlTables!D$48  )</f>
        <v>N/A</v>
      </c>
      <c r="E57" s="31" t="str" cm="1">
        <f t="array" ref="E57" xml:space="preserve"> IF( SUMPRODUCT( --( VALUE( controlTables!E$48 ) = data_scaledImpacts[impactYear] ), --( co_impactYears[[#This Row],[sector_id]] = data_scaledImpacts[sector] ) ) &gt; 0, VALUE( controlTables!E$48 ), "" )</f>
        <v/>
      </c>
      <c r="F57" s="62" t="str" cm="1">
        <f t="array" ref="F57" xml:space="preserve"> IF( SUMPRODUCT( --( VALUE( controlTables!F$48 ) = data_scaledImpacts[impactYear] ), --( co_impactYears[[#This Row],[sector_id]] = data_scaledImpacts[sector] ) ) &gt; 0, VALUE( controlTables!F$48 ), "" )</f>
        <v/>
      </c>
    </row>
    <row r="58" spans="2:6" x14ac:dyDescent="0.3">
      <c r="B58" s="7">
        <f xml:space="preserve"> ROW( co_impactYears[[#This Row],[row_id]] ) - ROW(co_impactYears[[#Headers],[row_id]] )</f>
        <v>10</v>
      </c>
      <c r="C58" s="14" t="s">
        <v>17</v>
      </c>
      <c r="D58" s="62" t="str" cm="1">
        <f t="array" ref="D58" xml:space="preserve"> IF( SUMPRODUCT( --( VALUE( controlTables!E$48 ) = data_scaledImpacts[impactYear] ), --( co_impactYears[[#This Row],[sector_id]] = data_scaledImpacts[sector] ) ) &gt; 0, "", controlTables!D$48  )</f>
        <v/>
      </c>
      <c r="E58" s="31" cm="1">
        <f t="array" ref="E58" xml:space="preserve"> IF( SUMPRODUCT( --( VALUE( controlTables!E$48 ) = data_scaledImpacts[impactYear] ), --( co_impactYears[[#This Row],[sector_id]] = data_scaledImpacts[sector] ) ) &gt; 0, VALUE( controlTables!E$48 ), "" )</f>
        <v>2010</v>
      </c>
      <c r="F58" s="62" cm="1">
        <f t="array" ref="F58" xml:space="preserve"> IF( SUMPRODUCT( --( VALUE( controlTables!F$48 ) = data_scaledImpacts[impactYear] ), --( co_impactYears[[#This Row],[sector_id]] = data_scaledImpacts[sector] ) ) &gt; 0, VALUE( controlTables!F$48 ), "" )</f>
        <v>2090</v>
      </c>
    </row>
    <row r="59" spans="2:6" x14ac:dyDescent="0.3">
      <c r="B59" s="7">
        <f xml:space="preserve"> ROW( co_impactYears[[#This Row],[row_id]] ) - ROW(co_impactYears[[#Headers],[row_id]] )</f>
        <v>11</v>
      </c>
      <c r="C59" s="14" t="s">
        <v>221</v>
      </c>
      <c r="D59" s="62" t="str" cm="1">
        <f t="array" ref="D59" xml:space="preserve"> IF( SUMPRODUCT( --( VALUE( controlTables!E$48 ) = data_scaledImpacts[impactYear] ), --( co_impactYears[[#This Row],[sector_id]] = data_scaledImpacts[sector] ) ) &gt; 0, "", controlTables!D$48  )</f>
        <v>N/A</v>
      </c>
      <c r="E59" s="31" t="str" cm="1">
        <f t="array" ref="E59" xml:space="preserve"> IF( SUMPRODUCT( --( VALUE( controlTables!E$48 ) = data_scaledImpacts[impactYear] ), --( co_impactYears[[#This Row],[sector_id]] = data_scaledImpacts[sector] ) ) &gt; 0, VALUE( controlTables!E$48 ), "" )</f>
        <v/>
      </c>
      <c r="F59" s="62" t="str" cm="1">
        <f t="array" ref="F59" xml:space="preserve"> IF( SUMPRODUCT( --( VALUE( controlTables!F$48 ) = data_scaledImpacts[impactYear] ), --( co_impactYears[[#This Row],[sector_id]] = data_scaledImpacts[sector] ) ) &gt; 0, VALUE( controlTables!F$48 ), "" )</f>
        <v/>
      </c>
    </row>
    <row r="60" spans="2:6" x14ac:dyDescent="0.3">
      <c r="B60" s="7">
        <f xml:space="preserve"> ROW( co_impactYears[[#This Row],[row_id]] ) - ROW(co_impactYears[[#Headers],[row_id]] )</f>
        <v>12</v>
      </c>
      <c r="C60" s="14" t="s">
        <v>84</v>
      </c>
      <c r="D60" s="62" t="str" cm="1">
        <f t="array" ref="D60" xml:space="preserve"> IF( SUMPRODUCT( --( VALUE( controlTables!E$48 ) = data_scaledImpacts[impactYear] ), --( co_impactYears[[#This Row],[sector_id]] = data_scaledImpacts[sector] ) ) &gt; 0, "", controlTables!D$48  )</f>
        <v>N/A</v>
      </c>
      <c r="E60" s="31" t="str" cm="1">
        <f t="array" ref="E60" xml:space="preserve"> IF( SUMPRODUCT( --( VALUE( controlTables!E$48 ) = data_scaledImpacts[impactYear] ), --( co_impactYears[[#This Row],[sector_id]] = data_scaledImpacts[sector] ) ) &gt; 0, VALUE( controlTables!E$48 ), "" )</f>
        <v/>
      </c>
      <c r="F60" s="62" t="str" cm="1">
        <f t="array" ref="F60" xml:space="preserve"> IF( SUMPRODUCT( --( VALUE( controlTables!F$48 ) = data_scaledImpacts[impactYear] ), --( co_impactYears[[#This Row],[sector_id]] = data_scaledImpacts[sector] ) ) &gt; 0, VALUE( controlTables!F$48 ), "" )</f>
        <v/>
      </c>
    </row>
    <row r="61" spans="2:6" x14ac:dyDescent="0.3">
      <c r="B61" s="7">
        <f xml:space="preserve"> ROW( co_impactYears[[#This Row],[row_id]] ) - ROW(co_impactYears[[#Headers],[row_id]] )</f>
        <v>13</v>
      </c>
      <c r="C61" s="14" t="s">
        <v>34</v>
      </c>
      <c r="D61" s="62" t="str" cm="1">
        <f t="array" ref="D61" xml:space="preserve"> IF( SUMPRODUCT( --( VALUE( controlTables!E$48 ) = data_scaledImpacts[impactYear] ), --( co_impactYears[[#This Row],[sector_id]] = data_scaledImpacts[sector] ) ) &gt; 0, "", controlTables!D$48  )</f>
        <v>N/A</v>
      </c>
      <c r="E61" s="31" t="str" cm="1">
        <f t="array" ref="E61" xml:space="preserve"> IF( SUMPRODUCT( --( VALUE( controlTables!E$48 ) = data_scaledImpacts[impactYear] ), --( co_impactYears[[#This Row],[sector_id]] = data_scaledImpacts[sector] ) ) &gt; 0, VALUE( controlTables!E$48 ), "" )</f>
        <v/>
      </c>
      <c r="F61" s="62" t="str" cm="1">
        <f t="array" ref="F61" xml:space="preserve"> IF( SUMPRODUCT( --( VALUE( controlTables!F$48 ) = data_scaledImpacts[impactYear] ), --( co_impactYears[[#This Row],[sector_id]] = data_scaledImpacts[sector] ) ) &gt; 0, VALUE( controlTables!F$48 ), "" )</f>
        <v/>
      </c>
    </row>
    <row r="62" spans="2:6" x14ac:dyDescent="0.3">
      <c r="B62" s="7">
        <f xml:space="preserve"> ROW( co_impactYears[[#This Row],[row_id]] ) - ROW(co_impactYears[[#Headers],[row_id]] )</f>
        <v>14</v>
      </c>
      <c r="C62" s="14" t="s">
        <v>223</v>
      </c>
      <c r="D62" s="62" t="str" cm="1">
        <f t="array" ref="D62" xml:space="preserve"> IF( SUMPRODUCT( --( VALUE( controlTables!E$48 ) = data_scaledImpacts[impactYear] ), --( co_impactYears[[#This Row],[sector_id]] = data_scaledImpacts[sector] ) ) &gt; 0, "", controlTables!D$48  )</f>
        <v>N/A</v>
      </c>
      <c r="E62" s="31" t="str" cm="1">
        <f t="array" ref="E62" xml:space="preserve"> IF( SUMPRODUCT( --( VALUE( controlTables!E$48 ) = data_scaledImpacts[impactYear] ), --( co_impactYears[[#This Row],[sector_id]] = data_scaledImpacts[sector] ) ) &gt; 0, VALUE( controlTables!E$48 ), "" )</f>
        <v/>
      </c>
      <c r="F62" s="62" t="str" cm="1">
        <f t="array" ref="F62" xml:space="preserve"> IF( SUMPRODUCT( --( VALUE( controlTables!F$48 ) = data_scaledImpacts[impactYear] ), --( co_impactYears[[#This Row],[sector_id]] = data_scaledImpacts[sector] ) ) &gt; 0, VALUE( controlTables!F$48 ), "" )</f>
        <v/>
      </c>
    </row>
    <row r="63" spans="2:6" x14ac:dyDescent="0.3">
      <c r="B63" s="7">
        <f xml:space="preserve"> ROW( co_impactYears[[#This Row],[row_id]] ) - ROW(co_impactYears[[#Headers],[row_id]] )</f>
        <v>15</v>
      </c>
      <c r="C63" s="14" t="s">
        <v>1312</v>
      </c>
      <c r="D63" s="62" t="str" cm="1">
        <f t="array" ref="D63" xml:space="preserve"> IF( SUMPRODUCT( --( VALUE( controlTables!E$48 ) = data_scaledImpacts[impactYear] ), --( co_impactYears[[#This Row],[sector_id]] = data_scaledImpacts[sector] ) ) &gt; 0, "", controlTables!D$48  )</f>
        <v>N/A</v>
      </c>
      <c r="E63" s="31" t="str" cm="1">
        <f t="array" ref="E63" xml:space="preserve"> IF( SUMPRODUCT( --( VALUE( controlTables!E$48 ) = data_scaledImpacts[impactYear] ), --( co_impactYears[[#This Row],[sector_id]] = data_scaledImpacts[sector] ) ) &gt; 0, VALUE( controlTables!E$48 ), "" )</f>
        <v/>
      </c>
      <c r="F63" s="62" t="str" cm="1">
        <f t="array" ref="F63" xml:space="preserve"> IF( SUMPRODUCT( --( VALUE( controlTables!F$48 ) = data_scaledImpacts[impactYear] ), --( co_impactYears[[#This Row],[sector_id]] = data_scaledImpacts[sector] ) ) &gt; 0, VALUE( controlTables!F$48 ), "" )</f>
        <v/>
      </c>
    </row>
    <row r="64" spans="2:6" x14ac:dyDescent="0.3">
      <c r="B64" s="7">
        <f xml:space="preserve"> ROW( co_impactYears[[#This Row],[row_id]] ) - ROW(co_impactYears[[#Headers],[row_id]] )</f>
        <v>16</v>
      </c>
      <c r="C64" s="14" t="s">
        <v>209</v>
      </c>
      <c r="D64" s="62" t="str" cm="1">
        <f t="array" ref="D64" xml:space="preserve"> IF( SUMPRODUCT( --( VALUE( controlTables!E$48 ) = data_scaledImpacts[impactYear] ), --( co_impactYears[[#This Row],[sector_id]] = data_scaledImpacts[sector] ) ) &gt; 0, "", controlTables!D$48  )</f>
        <v>N/A</v>
      </c>
      <c r="E64" s="31" t="str" cm="1">
        <f t="array" ref="E64" xml:space="preserve"> IF( SUMPRODUCT( --( VALUE( controlTables!E$48 ) = data_scaledImpacts[impactYear] ), --( co_impactYears[[#This Row],[sector_id]] = data_scaledImpacts[sector] ) ) &gt; 0, VALUE( controlTables!E$48 ), "" )</f>
        <v/>
      </c>
      <c r="F64" s="62" t="str" cm="1">
        <f t="array" ref="F64" xml:space="preserve"> IF( SUMPRODUCT( --( VALUE( controlTables!F$48 ) = data_scaledImpacts[impactYear] ), --( co_impactYears[[#This Row],[sector_id]] = data_scaledImpacts[sector] ) ) &gt; 0, VALUE( controlTables!F$48 ), "" )</f>
        <v/>
      </c>
    </row>
    <row r="65" spans="1:21" x14ac:dyDescent="0.3">
      <c r="B65" s="7">
        <f xml:space="preserve"> ROW( co_impactYears[[#This Row],[row_id]] ) - ROW(co_impactYears[[#Headers],[row_id]] )</f>
        <v>17</v>
      </c>
      <c r="C65" s="14" t="s">
        <v>216</v>
      </c>
      <c r="D65" s="62" t="str" cm="1">
        <f t="array" ref="D65" xml:space="preserve"> IF( SUMPRODUCT( --( VALUE( controlTables!E$48 ) = data_scaledImpacts[impactYear] ), --( co_impactYears[[#This Row],[sector_id]] = data_scaledImpacts[sector] ) ) &gt; 0, "", controlTables!D$48  )</f>
        <v>N/A</v>
      </c>
      <c r="E65" s="31" t="str" cm="1">
        <f t="array" ref="E65" xml:space="preserve"> IF( SUMPRODUCT( --( VALUE( controlTables!E$48 ) = data_scaledImpacts[impactYear] ), --( co_impactYears[[#This Row],[sector_id]] = data_scaledImpacts[sector] ) ) &gt; 0, VALUE( controlTables!E$48 ), "" )</f>
        <v/>
      </c>
      <c r="F65" s="62" t="str" cm="1">
        <f t="array" ref="F65" xml:space="preserve"> IF( SUMPRODUCT( --( VALUE( controlTables!F$48 ) = data_scaledImpacts[impactYear] ), --( co_impactYears[[#This Row],[sector_id]] = data_scaledImpacts[sector] ) ) &gt; 0, VALUE( controlTables!F$48 ), "" )</f>
        <v/>
      </c>
    </row>
    <row r="66" spans="1:21" x14ac:dyDescent="0.3">
      <c r="B66" s="7">
        <f xml:space="preserve"> ROW( co_impactYears[[#This Row],[row_id]] ) - ROW(co_impactYears[[#Headers],[row_id]] )</f>
        <v>18</v>
      </c>
      <c r="C66" s="14" t="s">
        <v>85</v>
      </c>
      <c r="D66" s="62" t="str" cm="1">
        <f t="array" ref="D66" xml:space="preserve"> IF( SUMPRODUCT( --( VALUE( controlTables!E$48 ) = data_scaledImpacts[impactYear] ), --( co_impactYears[[#This Row],[sector_id]] = data_scaledImpacts[sector] ) ) &gt; 0, "", controlTables!D$48  )</f>
        <v/>
      </c>
      <c r="E66" s="31" cm="1">
        <f t="array" ref="E66" xml:space="preserve"> IF( SUMPRODUCT( --( VALUE( controlTables!E$48 ) = data_scaledImpacts[impactYear] ), --( co_impactYears[[#This Row],[sector_id]] = data_scaledImpacts[sector] ) ) &gt; 0, VALUE( controlTables!E$48 ), "" )</f>
        <v>2010</v>
      </c>
      <c r="F66" s="62" cm="1">
        <f t="array" ref="F66" xml:space="preserve"> IF( SUMPRODUCT( --( VALUE( controlTables!F$48 ) = data_scaledImpacts[impactYear] ), --( co_impactYears[[#This Row],[sector_id]] = data_scaledImpacts[sector] ) ) &gt; 0, VALUE( controlTables!F$48 ), "" )</f>
        <v>2090</v>
      </c>
    </row>
    <row r="67" spans="1:21" x14ac:dyDescent="0.3">
      <c r="B67" s="7">
        <f xml:space="preserve"> ROW( co_impactYears[[#This Row],[row_id]] ) - ROW(co_impactYears[[#Headers],[row_id]] )</f>
        <v>19</v>
      </c>
      <c r="C67" s="14" t="s">
        <v>225</v>
      </c>
      <c r="D67" s="62" t="str" cm="1">
        <f t="array" ref="D67" xml:space="preserve"> IF( SUMPRODUCT( --( VALUE( controlTables!E$48 ) = data_scaledImpacts[impactYear] ), --( co_impactYears[[#This Row],[sector_id]] = data_scaledImpacts[sector] ) ) &gt; 0, "", controlTables!D$48  )</f>
        <v>N/A</v>
      </c>
      <c r="E67" s="31" t="str" cm="1">
        <f t="array" ref="E67" xml:space="preserve"> IF( SUMPRODUCT( --( VALUE( controlTables!E$48 ) = data_scaledImpacts[impactYear] ), --( co_impactYears[[#This Row],[sector_id]] = data_scaledImpacts[sector] ) ) &gt; 0, VALUE( controlTables!E$48 ), "" )</f>
        <v/>
      </c>
      <c r="F67" s="62" t="str" cm="1">
        <f t="array" ref="F67" xml:space="preserve"> IF( SUMPRODUCT( --( VALUE( controlTables!F$48 ) = data_scaledImpacts[impactYear] ), --( co_impactYears[[#This Row],[sector_id]] = data_scaledImpacts[sector] ) ) &gt; 0, VALUE( controlTables!F$48 ), "" )</f>
        <v/>
      </c>
    </row>
    <row r="68" spans="1:21" x14ac:dyDescent="0.3">
      <c r="B68" s="7">
        <f xml:space="preserve"> ROW( co_impactYears[[#This Row],[row_id]] ) - ROW(co_impactYears[[#Headers],[row_id]] )</f>
        <v>20</v>
      </c>
      <c r="C68" s="14" t="s">
        <v>983</v>
      </c>
      <c r="D68" s="62" t="str" cm="1">
        <f t="array" ref="D68" xml:space="preserve"> IF( SUMPRODUCT( --( VALUE( controlTables!E$48 ) = data_scaledImpacts[impactYear] ), --( co_impactYears[[#This Row],[sector_id]] = data_scaledImpacts[sector] ) ) &gt; 0, "", controlTables!D$48  )</f>
        <v>N/A</v>
      </c>
      <c r="E68" s="31" t="str" cm="1">
        <f t="array" ref="E68" xml:space="preserve"> IF( SUMPRODUCT( --( VALUE( controlTables!E$48 ) = data_scaledImpacts[impactYear] ), --( co_impactYears[[#This Row],[sector_id]] = data_scaledImpacts[sector] ) ) &gt; 0, VALUE( controlTables!E$48 ), "" )</f>
        <v/>
      </c>
      <c r="F68" s="62" t="str" cm="1">
        <f t="array" ref="F68" xml:space="preserve"> IF( SUMPRODUCT( --( VALUE( controlTables!F$48 ) = data_scaledImpacts[impactYear] ), --( co_impactYears[[#This Row],[sector_id]] = data_scaledImpacts[sector] ) ) &gt; 0, VALUE( controlTables!F$48 ), "" )</f>
        <v/>
      </c>
    </row>
    <row r="69" spans="1:21" x14ac:dyDescent="0.3">
      <c r="B69" s="7">
        <f xml:space="preserve"> ROW( co_impactYears[[#This Row],[row_id]] ) - ROW(co_impactYears[[#Headers],[row_id]] )</f>
        <v>21</v>
      </c>
      <c r="C69" s="14" t="s">
        <v>1306</v>
      </c>
      <c r="D69" s="62" t="str" cm="1">
        <f t="array" ref="D69" xml:space="preserve"> IF( SUMPRODUCT( --( VALUE( controlTables!E$48 ) = data_scaledImpacts[impactYear] ), --( co_impactYears[[#This Row],[sector_id]] = data_scaledImpacts[sector] ) ) &gt; 0, "", controlTables!D$48  )</f>
        <v>N/A</v>
      </c>
      <c r="E69" s="31" t="str" cm="1">
        <f t="array" ref="E69" xml:space="preserve"> IF( SUMPRODUCT( --( VALUE( controlTables!E$48 ) = data_scaledImpacts[impactYear] ), --( co_impactYears[[#This Row],[sector_id]] = data_scaledImpacts[sector] ) ) &gt; 0, VALUE( controlTables!E$48 ), "" )</f>
        <v/>
      </c>
      <c r="F69" s="62" t="str" cm="1">
        <f t="array" ref="F69" xml:space="preserve"> IF( SUMPRODUCT( --( VALUE( controlTables!F$48 ) = data_scaledImpacts[impactYear] ), --( co_impactYears[[#This Row],[sector_id]] = data_scaledImpacts[sector] ) ) &gt; 0, VALUE( controlTables!F$48 ), "" )</f>
        <v/>
      </c>
    </row>
    <row r="70" spans="1:21" x14ac:dyDescent="0.3">
      <c r="B70" s="7">
        <f xml:space="preserve"> ROW( co_impactYears[[#This Row],[row_id]] ) - ROW(co_impactYears[[#Headers],[row_id]] )</f>
        <v>22</v>
      </c>
      <c r="C70" s="14" t="s">
        <v>227</v>
      </c>
      <c r="D70" s="62" t="str" cm="1">
        <f t="array" ref="D70" xml:space="preserve"> IF( SUMPRODUCT( --( VALUE( controlTables!E$48 ) = data_scaledImpacts[impactYear] ), --( co_impactYears[[#This Row],[sector_id]] = data_scaledImpacts[sector] ) ) &gt; 0, "", controlTables!D$48  )</f>
        <v>N/A</v>
      </c>
      <c r="E70" s="31" t="str" cm="1">
        <f t="array" ref="E70" xml:space="preserve"> IF( SUMPRODUCT( --( VALUE( controlTables!E$48 ) = data_scaledImpacts[impactYear] ), --( co_impactYears[[#This Row],[sector_id]] = data_scaledImpacts[sector] ) ) &gt; 0, VALUE( controlTables!E$48 ), "" )</f>
        <v/>
      </c>
      <c r="F70" s="62" t="str" cm="1">
        <f t="array" ref="F70" xml:space="preserve"> IF( SUMPRODUCT( --( VALUE( controlTables!F$48 ) = data_scaledImpacts[impactYear] ), --( co_impactYears[[#This Row],[sector_id]] = data_scaledImpacts[sector] ) ) &gt; 0, VALUE( controlTables!F$48 ), "" )</f>
        <v/>
      </c>
    </row>
    <row r="71" spans="1:21" x14ac:dyDescent="0.3">
      <c r="B71" s="7">
        <f xml:space="preserve"> ROW( co_impactYears[[#This Row],[row_id]] ) - ROW(co_impactYears[[#Headers],[row_id]] )</f>
        <v>23</v>
      </c>
      <c r="C71" s="14" t="s">
        <v>761</v>
      </c>
      <c r="D71" s="62" t="str" cm="1">
        <f t="array" ref="D71" xml:space="preserve"> IF( SUMPRODUCT( --( VALUE( controlTables!E$48 ) = data_scaledImpacts[impactYear] ), --( co_impactYears[[#This Row],[sector_id]] = data_scaledImpacts[sector] ) ) &gt; 0, "", controlTables!D$48  )</f>
        <v>N/A</v>
      </c>
      <c r="E71" s="31" t="str" cm="1">
        <f t="array" ref="E71" xml:space="preserve"> IF( SUMPRODUCT( --( VALUE( controlTables!E$48 ) = data_scaledImpacts[impactYear] ), --( co_impactYears[[#This Row],[sector_id]] = data_scaledImpacts[sector] ) ) &gt; 0, VALUE( controlTables!E$48 ), "" )</f>
        <v/>
      </c>
      <c r="F71" s="62" t="str" cm="1">
        <f t="array" ref="F71" xml:space="preserve"> IF( SUMPRODUCT( --( VALUE( controlTables!F$48 ) = data_scaledImpacts[impactYear] ), --( co_impactYears[[#This Row],[sector_id]] = data_scaledImpacts[sector] ) ) &gt; 0, VALUE( controlTables!F$48 ), "" )</f>
        <v/>
      </c>
    </row>
    <row r="72" spans="1:21" x14ac:dyDescent="0.3">
      <c r="B72" s="7">
        <f xml:space="preserve"> ROW( co_impactYears[[#This Row],[row_id]] ) - ROW(co_impactYears[[#Headers],[row_id]] )</f>
        <v>24</v>
      </c>
      <c r="C72" s="14" t="s">
        <v>1088</v>
      </c>
      <c r="D72" s="62" t="str" cm="1">
        <f t="array" ref="D72" xml:space="preserve"> IF( SUMPRODUCT( --( VALUE( controlTables!E$48 ) = data_scaledImpacts[impactYear] ), --( co_impactYears[[#This Row],[sector_id]] = data_scaledImpacts[sector] ) ) &gt; 0, "", controlTables!D$48  )</f>
        <v>N/A</v>
      </c>
      <c r="E72" s="31" t="str" cm="1">
        <f t="array" ref="E72" xml:space="preserve"> IF( SUMPRODUCT( --( VALUE( controlTables!E$48 ) = data_scaledImpacts[impactYear] ), --( co_impactYears[[#This Row],[sector_id]] = data_scaledImpacts[sector] ) ) &gt; 0, VALUE( controlTables!E$48 ), "" )</f>
        <v/>
      </c>
      <c r="F72" s="62" t="str" cm="1">
        <f t="array" ref="F72" xml:space="preserve"> IF( SUMPRODUCT( --( VALUE( controlTables!F$48 ) = data_scaledImpacts[impactYear] ), --( co_impactYears[[#This Row],[sector_id]] = data_scaledImpacts[sector] ) ) &gt; 0, VALUE( controlTables!F$48 ), "" )</f>
        <v/>
      </c>
    </row>
    <row r="73" spans="1:21" x14ac:dyDescent="0.3">
      <c r="B73" s="7">
        <f xml:space="preserve"> ROW( co_impactYears[[#This Row],[row_id]] ) - ROW(co_impactYears[[#Headers],[row_id]] )</f>
        <v>25</v>
      </c>
      <c r="C73" s="14" t="s">
        <v>89</v>
      </c>
      <c r="D73" s="62" t="str" cm="1">
        <f t="array" ref="D73" xml:space="preserve"> IF( SUMPRODUCT( --( VALUE( controlTables!E$48 ) = data_scaledImpacts[impactYear] ), --( co_impactYears[[#This Row],[sector_id]] = data_scaledImpacts[sector] ) ) &gt; 0, "", controlTables!D$48  )</f>
        <v/>
      </c>
      <c r="E73" s="31" cm="1">
        <f t="array" ref="E73" xml:space="preserve"> IF( SUMPRODUCT( --( VALUE( controlTables!E$48 ) = data_scaledImpacts[impactYear] ), --( co_impactYears[[#This Row],[sector_id]] = data_scaledImpacts[sector] ) ) &gt; 0, VALUE( controlTables!E$48 ), "" )</f>
        <v>2010</v>
      </c>
      <c r="F73" s="62" cm="1">
        <f t="array" ref="F73" xml:space="preserve"> IF( SUMPRODUCT( --( VALUE( controlTables!F$48 ) = data_scaledImpacts[impactYear] ), --( co_impactYears[[#This Row],[sector_id]] = data_scaledImpacts[sector] ) ) &gt; 0, VALUE( controlTables!F$48 ), "" )</f>
        <v>2090</v>
      </c>
    </row>
    <row r="75" spans="1:21" ht="14.5" x14ac:dyDescent="0.35">
      <c r="A75" s="47"/>
      <c r="B75" s="48" t="s">
        <v>1238</v>
      </c>
      <c r="C75" s="48"/>
      <c r="D75" s="48"/>
      <c r="E75" s="48"/>
      <c r="F75" s="48"/>
      <c r="G75" s="48"/>
      <c r="H75" s="48"/>
      <c r="I75" s="48"/>
      <c r="J75" s="48"/>
      <c r="K75" s="48"/>
      <c r="L75" s="48"/>
      <c r="M75" s="48"/>
      <c r="N75" s="48"/>
      <c r="O75" s="48"/>
      <c r="P75" s="48"/>
      <c r="Q75" s="48"/>
      <c r="R75" s="48"/>
      <c r="S75" s="48"/>
      <c r="T75" s="48"/>
      <c r="U75" s="48"/>
    </row>
    <row r="76" spans="1:21" x14ac:dyDescent="0.3">
      <c r="B76" s="5" t="s">
        <v>1239</v>
      </c>
      <c r="C76" s="5"/>
      <c r="D76" s="5"/>
      <c r="E76" s="22"/>
      <c r="F76" s="5"/>
      <c r="G76" s="5"/>
      <c r="H76" s="5"/>
      <c r="I76" s="5"/>
      <c r="J76" s="5"/>
      <c r="K76" s="5"/>
    </row>
    <row r="77" spans="1:21" x14ac:dyDescent="0.3">
      <c r="B77" s="5" t="s">
        <v>1240</v>
      </c>
      <c r="C77" s="5"/>
      <c r="D77" s="5"/>
      <c r="E77" s="22"/>
      <c r="F77" s="5"/>
      <c r="G77" s="5"/>
      <c r="H77" s="5"/>
      <c r="I77" s="5"/>
      <c r="J77" s="5"/>
      <c r="K77" s="5"/>
    </row>
    <row r="78" spans="1:21" x14ac:dyDescent="0.3">
      <c r="B78" s="5" t="s">
        <v>1241</v>
      </c>
      <c r="C78" s="5"/>
      <c r="D78" s="5"/>
      <c r="E78" s="22"/>
      <c r="F78" s="5"/>
      <c r="G78" s="5"/>
      <c r="H78" s="5"/>
      <c r="I78" s="5"/>
      <c r="J78" s="5"/>
      <c r="K78" s="5"/>
    </row>
    <row r="79" spans="1:21" ht="14.5" x14ac:dyDescent="0.35">
      <c r="B79" s="78" t="s">
        <v>780</v>
      </c>
      <c r="C79" s="78" t="s">
        <v>219</v>
      </c>
      <c r="D79" s="78" t="s">
        <v>1242</v>
      </c>
      <c r="E79" s="78" t="s">
        <v>1243</v>
      </c>
      <c r="F79" s="81" t="s">
        <v>1244</v>
      </c>
      <c r="G79" s="62" t="s">
        <v>1017</v>
      </c>
      <c r="H79" s="62" t="s">
        <v>1018</v>
      </c>
      <c r="I79" s="60" t="s">
        <v>796</v>
      </c>
      <c r="J79" s="62" t="s">
        <v>919</v>
      </c>
      <c r="K79" s="60" t="s">
        <v>1262</v>
      </c>
      <c r="L79" s="8"/>
      <c r="M79" s="8"/>
      <c r="N79" s="8"/>
      <c r="O79" s="8"/>
      <c r="P79" s="8"/>
      <c r="Q79" s="8"/>
    </row>
    <row r="80" spans="1:21" ht="14.5" x14ac:dyDescent="0.35">
      <c r="B80" s="7">
        <f xml:space="preserve"> ROW( co_variants[[#This Row],[row_id]] ) - ROW( co_variants[[#Headers],[row_id]] )</f>
        <v>1</v>
      </c>
      <c r="C80" s="14" t="s">
        <v>559</v>
      </c>
      <c r="D80" s="57" t="s">
        <v>773</v>
      </c>
      <c r="E80" s="83">
        <v>2011</v>
      </c>
      <c r="F80" s="83">
        <v>2011</v>
      </c>
      <c r="G80" s="58">
        <v>1</v>
      </c>
      <c r="H80" s="58">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2</v>
      </c>
      <c r="C81" s="14" t="s">
        <v>559</v>
      </c>
      <c r="D81" s="57" t="s">
        <v>945</v>
      </c>
      <c r="E81" s="83">
        <v>2040</v>
      </c>
      <c r="F81" s="83">
        <v>2040</v>
      </c>
      <c r="G81" s="58">
        <v>0</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4.5" x14ac:dyDescent="0.35">
      <c r="B82" s="7">
        <f xml:space="preserve"> ROW( co_variants[[#This Row],[row_id]] ) - ROW( co_variants[[#Headers],[row_id]] )</f>
        <v>3</v>
      </c>
      <c r="C82" s="14" t="s">
        <v>1005</v>
      </c>
      <c r="D82" s="57" t="s">
        <v>201</v>
      </c>
      <c r="E82" s="83" t="s">
        <v>927</v>
      </c>
      <c r="F82" s="83" t="s">
        <v>201</v>
      </c>
      <c r="G82" s="58">
        <v>1</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4</v>
      </c>
      <c r="C83" s="14" t="s">
        <v>1248</v>
      </c>
      <c r="D83" s="57" t="s">
        <v>1259</v>
      </c>
      <c r="E83" s="83" t="s">
        <v>1249</v>
      </c>
      <c r="F83" s="112" t="s">
        <v>1249</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5</v>
      </c>
      <c r="C84" s="14" t="s">
        <v>1248</v>
      </c>
      <c r="D84" s="57" t="s">
        <v>1260</v>
      </c>
      <c r="E84" s="83" t="s">
        <v>1267</v>
      </c>
      <c r="F84" s="112" t="s">
        <v>1257</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6</v>
      </c>
      <c r="C85" s="14" t="s">
        <v>1248</v>
      </c>
      <c r="D85" s="57" t="s">
        <v>1261</v>
      </c>
      <c r="E85" s="83" t="s">
        <v>1268</v>
      </c>
      <c r="F85" s="112" t="s">
        <v>1258</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4.5" x14ac:dyDescent="0.35">
      <c r="B86" s="7">
        <f xml:space="preserve"> ROW( co_variants[[#This Row],[row_id]] ) - ROW( co_variants[[#Headers],[row_id]] )</f>
        <v>7</v>
      </c>
      <c r="C86" s="14" t="s">
        <v>1229</v>
      </c>
      <c r="D86" s="83" t="s">
        <v>1165</v>
      </c>
      <c r="E86" s="83" t="s">
        <v>1220</v>
      </c>
      <c r="F86" s="83" t="s">
        <v>1165</v>
      </c>
      <c r="G86" s="97">
        <v>1</v>
      </c>
      <c r="H86" s="97">
        <v>1</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8</v>
      </c>
      <c r="C87" s="14" t="s">
        <v>1229</v>
      </c>
      <c r="D87" s="83" t="s">
        <v>1164</v>
      </c>
      <c r="E87" s="83" t="s">
        <v>1221</v>
      </c>
      <c r="F87" s="83" t="s">
        <v>1164</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9</v>
      </c>
      <c r="C88" s="14" t="s">
        <v>1230</v>
      </c>
      <c r="D88" s="57" t="s">
        <v>201</v>
      </c>
      <c r="E88" s="83" t="s">
        <v>927</v>
      </c>
      <c r="F88" s="112" t="s">
        <v>201</v>
      </c>
      <c r="G88" s="97">
        <v>1</v>
      </c>
      <c r="H88" s="97">
        <v>1</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4.5" x14ac:dyDescent="0.35">
      <c r="B89" s="7">
        <f xml:space="preserve"> ROW( co_variants[[#This Row],[row_id]] ) - ROW( co_variants[[#Headers],[row_id]] )</f>
        <v>10</v>
      </c>
      <c r="C89" s="14" t="s">
        <v>1159</v>
      </c>
      <c r="D89" s="57" t="s">
        <v>1265</v>
      </c>
      <c r="E89" s="83" t="s">
        <v>1264</v>
      </c>
      <c r="F89" s="83" t="s">
        <v>1264</v>
      </c>
      <c r="G89" s="97">
        <v>1</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11</v>
      </c>
      <c r="C90" s="14" t="s">
        <v>1159</v>
      </c>
      <c r="D90" s="57" t="s">
        <v>1260</v>
      </c>
      <c r="E90" s="83" t="s">
        <v>1267</v>
      </c>
      <c r="F90" s="83" t="s">
        <v>1257</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12</v>
      </c>
      <c r="C91" s="14" t="s">
        <v>1159</v>
      </c>
      <c r="D91" s="57" t="s">
        <v>1261</v>
      </c>
      <c r="E91" s="83" t="s">
        <v>1268</v>
      </c>
      <c r="F91" s="83" t="s">
        <v>1258</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13</v>
      </c>
      <c r="C92" s="14" t="s">
        <v>86</v>
      </c>
      <c r="D92" s="57" t="s">
        <v>1319</v>
      </c>
      <c r="E92" s="83" t="s">
        <v>87</v>
      </c>
      <c r="F92" s="112" t="s">
        <v>87</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14</v>
      </c>
      <c r="C93" s="14" t="s">
        <v>86</v>
      </c>
      <c r="D93" s="57" t="s">
        <v>777</v>
      </c>
      <c r="E93" s="112" t="s">
        <v>208</v>
      </c>
      <c r="F93" s="112" t="s">
        <v>208</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15</v>
      </c>
      <c r="C94" s="14" t="s">
        <v>86</v>
      </c>
      <c r="D94" s="57" t="s">
        <v>778</v>
      </c>
      <c r="E94" s="112" t="s">
        <v>88</v>
      </c>
      <c r="F94" s="112" t="s">
        <v>88</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16</v>
      </c>
      <c r="C95" s="14" t="s">
        <v>220</v>
      </c>
      <c r="D95" s="57" t="s">
        <v>201</v>
      </c>
      <c r="E95" s="83" t="s">
        <v>927</v>
      </c>
      <c r="F95" s="112" t="s">
        <v>201</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elecSD_refCosts</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17</v>
      </c>
      <c r="C96" s="14" t="s">
        <v>1002</v>
      </c>
      <c r="D96" s="57" t="s">
        <v>1319</v>
      </c>
      <c r="E96" s="83" t="s">
        <v>87</v>
      </c>
      <c r="F96" s="112" t="s">
        <v>87</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18</v>
      </c>
      <c r="C97" s="14" t="s">
        <v>1002</v>
      </c>
      <c r="D97" s="57" t="s">
        <v>777</v>
      </c>
      <c r="E97" s="112" t="s">
        <v>208</v>
      </c>
      <c r="F97" s="112" t="s">
        <v>208</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19</v>
      </c>
      <c r="C98" s="14" t="s">
        <v>1002</v>
      </c>
      <c r="D98" s="57" t="s">
        <v>778</v>
      </c>
      <c r="E98" s="112" t="s">
        <v>88</v>
      </c>
      <c r="F98" s="112" t="s">
        <v>88</v>
      </c>
      <c r="G98" s="58">
        <v>1</v>
      </c>
      <c r="H98" s="58">
        <v>1</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20</v>
      </c>
      <c r="C99" s="14" t="s">
        <v>17</v>
      </c>
      <c r="D99" s="57" t="s">
        <v>774</v>
      </c>
      <c r="E99" s="83" t="s">
        <v>928</v>
      </c>
      <c r="F99" s="112" t="s">
        <v>774</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21</v>
      </c>
      <c r="C100" s="14" t="s">
        <v>17</v>
      </c>
      <c r="D100" s="57" t="s">
        <v>1319</v>
      </c>
      <c r="E100" s="83" t="s">
        <v>87</v>
      </c>
      <c r="F100" s="112" t="s">
        <v>776</v>
      </c>
      <c r="G100" s="58">
        <v>1</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4.5" x14ac:dyDescent="0.35">
      <c r="B101" s="7">
        <f xml:space="preserve"> ROW( co_variants[[#This Row],[row_id]] ) - ROW( co_variants[[#Headers],[row_id]] )</f>
        <v>22</v>
      </c>
      <c r="C101" s="14" t="s">
        <v>221</v>
      </c>
      <c r="D101" s="57" t="s">
        <v>775</v>
      </c>
      <c r="E101" s="83" t="s">
        <v>231</v>
      </c>
      <c r="F101" s="112" t="s">
        <v>208</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23</v>
      </c>
      <c r="C102" s="14" t="s">
        <v>221</v>
      </c>
      <c r="D102" s="57" t="s">
        <v>1319</v>
      </c>
      <c r="E102" s="83" t="s">
        <v>87</v>
      </c>
      <c r="F102" s="112" t="s">
        <v>87</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21" x14ac:dyDescent="0.35">
      <c r="B103" s="7">
        <f xml:space="preserve"> ROW( co_variants[[#This Row],[row_id]] ) - ROW( co_variants[[#Headers],[row_id]] )</f>
        <v>24</v>
      </c>
      <c r="C103" s="14" t="s">
        <v>221</v>
      </c>
      <c r="D103" s="57" t="s">
        <v>779</v>
      </c>
      <c r="E103" s="112" t="s">
        <v>230</v>
      </c>
      <c r="F103" s="112" t="s">
        <v>88</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25</v>
      </c>
      <c r="C104" s="14" t="s">
        <v>84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26</v>
      </c>
      <c r="C105" s="14" t="s">
        <v>34</v>
      </c>
      <c r="D105" s="57" t="s">
        <v>201</v>
      </c>
      <c r="E105" s="83" t="s">
        <v>927</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27</v>
      </c>
      <c r="C106" s="14" t="s">
        <v>223</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28</v>
      </c>
      <c r="C107" s="14" t="s">
        <v>1312</v>
      </c>
      <c r="D107" s="57" t="s">
        <v>201</v>
      </c>
      <c r="E107" s="83" t="s">
        <v>927</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MH_popDemoAdj</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29</v>
      </c>
      <c r="C108" s="14" t="s">
        <v>209</v>
      </c>
      <c r="D108" s="57" t="s">
        <v>1319</v>
      </c>
      <c r="E108" s="83" t="s">
        <v>87</v>
      </c>
      <c r="F108" s="112" t="s">
        <v>776</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30</v>
      </c>
      <c r="C109" s="14" t="s">
        <v>209</v>
      </c>
      <c r="D109" s="57" t="s">
        <v>777</v>
      </c>
      <c r="E109" s="112" t="s">
        <v>208</v>
      </c>
      <c r="F109" s="112" t="s">
        <v>208</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31</v>
      </c>
      <c r="C110" s="14" t="s">
        <v>209</v>
      </c>
      <c r="D110" s="57" t="s">
        <v>778</v>
      </c>
      <c r="E110" s="112" t="s">
        <v>88</v>
      </c>
      <c r="F110" s="112" t="s">
        <v>88</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32</v>
      </c>
      <c r="C111" s="14" t="s">
        <v>216</v>
      </c>
      <c r="D111" s="57" t="s">
        <v>1319</v>
      </c>
      <c r="E111" s="83" t="s">
        <v>87</v>
      </c>
      <c r="F111" s="112" t="s">
        <v>889</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road_miles_and_pop_other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33</v>
      </c>
      <c r="C112" s="14" t="s">
        <v>216</v>
      </c>
      <c r="D112" s="57" t="s">
        <v>777</v>
      </c>
      <c r="E112" s="112" t="s">
        <v>208</v>
      </c>
      <c r="F112" s="112" t="s">
        <v>208</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34</v>
      </c>
      <c r="C113" s="14" t="s">
        <v>216</v>
      </c>
      <c r="D113" s="57" t="s">
        <v>778</v>
      </c>
      <c r="E113" s="112" t="s">
        <v>88</v>
      </c>
      <c r="F113" s="112" t="s">
        <v>88</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road_miles_and_pop_other</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4.5" x14ac:dyDescent="0.35">
      <c r="B114" s="7">
        <f xml:space="preserve"> ROW( co_variants[[#This Row],[row_id]] ) - ROW( co_variants[[#Headers],[row_id]] )</f>
        <v>35</v>
      </c>
      <c r="C114" s="14" t="s">
        <v>85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1</v>
      </c>
      <c r="L114"/>
      <c r="M114"/>
      <c r="N114"/>
      <c r="O114"/>
    </row>
    <row r="115" spans="1:21" ht="14.5" x14ac:dyDescent="0.35">
      <c r="B115" s="7">
        <f xml:space="preserve"> ROW( co_variants[[#This Row],[row_id]] ) - ROW( co_variants[[#Headers],[row_id]] )</f>
        <v>36</v>
      </c>
      <c r="C115" s="14" t="s">
        <v>225</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0</v>
      </c>
      <c r="L115"/>
      <c r="M115"/>
      <c r="N115"/>
      <c r="O115"/>
    </row>
    <row r="116" spans="1:21" ht="14.5" x14ac:dyDescent="0.35">
      <c r="B116" s="7">
        <f xml:space="preserve"> ROW( co_variants[[#This Row],[row_id]] ) - ROW( co_variants[[#Headers],[row_id]] )</f>
        <v>37</v>
      </c>
      <c r="C116" s="14" t="s">
        <v>983</v>
      </c>
      <c r="D116" s="57" t="s">
        <v>201</v>
      </c>
      <c r="E116" s="83" t="s">
        <v>927</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38</v>
      </c>
      <c r="C117" s="14" t="s">
        <v>1306</v>
      </c>
      <c r="D117" s="57" t="s">
        <v>201</v>
      </c>
      <c r="E117" s="83" t="s">
        <v>927</v>
      </c>
      <c r="F117" s="112" t="s">
        <v>201</v>
      </c>
      <c r="G117" s="97">
        <v>1</v>
      </c>
      <c r="H117" s="97">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4.5" x14ac:dyDescent="0.35">
      <c r="B118" s="7">
        <f xml:space="preserve"> ROW( co_variants[[#This Row],[row_id]] ) - ROW( co_variants[[#Headers],[row_id]] )</f>
        <v>39</v>
      </c>
      <c r="C118" s="14" t="s">
        <v>227</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0</v>
      </c>
      <c r="L118"/>
      <c r="M118"/>
      <c r="N118"/>
      <c r="O118"/>
    </row>
    <row r="119" spans="1:21" ht="14.5" x14ac:dyDescent="0.35">
      <c r="B119" s="7">
        <f xml:space="preserve"> ROW( co_variants[[#This Row],[row_id]] ) - ROW( co_variants[[#Headers],[row_id]] )</f>
        <v>40</v>
      </c>
      <c r="C119" s="14" t="s">
        <v>761</v>
      </c>
      <c r="D119" s="57" t="s">
        <v>201</v>
      </c>
      <c r="E119" s="83" t="s">
        <v>927</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1</v>
      </c>
      <c r="L119"/>
      <c r="M119"/>
      <c r="N119"/>
      <c r="O119"/>
    </row>
    <row r="120" spans="1:21" ht="14.5" x14ac:dyDescent="0.35">
      <c r="B120" s="7">
        <f xml:space="preserve"> ROW( co_variants[[#This Row],[row_id]] ) - ROW( co_variants[[#Headers],[row_id]] )</f>
        <v>41</v>
      </c>
      <c r="C120" s="14" t="s">
        <v>1088</v>
      </c>
      <c r="D120" s="57" t="s">
        <v>201</v>
      </c>
      <c r="E120" s="83" t="s">
        <v>927</v>
      </c>
      <c r="F120" s="112" t="s">
        <v>201</v>
      </c>
      <c r="G120" s="97">
        <v>1</v>
      </c>
      <c r="H120" s="97">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0</v>
      </c>
      <c r="L120"/>
      <c r="M120"/>
      <c r="N120"/>
      <c r="O120"/>
    </row>
    <row r="121" spans="1:21" ht="14.5" x14ac:dyDescent="0.35">
      <c r="B121" s="7">
        <f xml:space="preserve"> ROW( co_variants[[#This Row],[row_id]] ) - ROW( co_variants[[#Headers],[row_id]] )</f>
        <v>42</v>
      </c>
      <c r="C121" s="14" t="s">
        <v>89</v>
      </c>
      <c r="D121" s="57" t="s">
        <v>201</v>
      </c>
      <c r="E121" s="83" t="s">
        <v>927</v>
      </c>
      <c r="F121" s="112" t="s">
        <v>201</v>
      </c>
      <c r="G121" s="58">
        <v>1</v>
      </c>
      <c r="H121" s="58">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1</v>
      </c>
      <c r="L121"/>
      <c r="M121"/>
      <c r="N121"/>
      <c r="O121"/>
    </row>
    <row r="123" spans="1:21" ht="14.5" x14ac:dyDescent="0.35">
      <c r="A123" s="47"/>
      <c r="B123" s="48" t="s">
        <v>200</v>
      </c>
      <c r="C123" s="48"/>
      <c r="D123" s="48"/>
      <c r="E123" s="48"/>
      <c r="F123" s="48"/>
      <c r="G123" s="48"/>
      <c r="H123" s="48"/>
      <c r="I123" s="48"/>
      <c r="J123" s="48"/>
      <c r="K123" s="48"/>
      <c r="L123" s="48"/>
      <c r="M123" s="48"/>
      <c r="N123" s="48"/>
      <c r="O123" s="48"/>
      <c r="P123" s="48"/>
      <c r="Q123" s="48"/>
      <c r="R123" s="48"/>
      <c r="S123" s="48"/>
      <c r="T123" s="48"/>
      <c r="U123" s="48"/>
    </row>
    <row r="124" spans="1:21" x14ac:dyDescent="0.3">
      <c r="B124" s="5" t="s">
        <v>1222</v>
      </c>
    </row>
    <row r="125" spans="1:21" x14ac:dyDescent="0.3">
      <c r="B125" s="60" t="s">
        <v>780</v>
      </c>
      <c r="C125" s="60" t="s">
        <v>219</v>
      </c>
      <c r="D125" s="60" t="s">
        <v>931</v>
      </c>
      <c r="E125" s="61" t="s">
        <v>932</v>
      </c>
      <c r="F125" s="60" t="s">
        <v>935</v>
      </c>
      <c r="G125" s="60" t="s">
        <v>933</v>
      </c>
      <c r="H125" s="60" t="s">
        <v>1019</v>
      </c>
      <c r="I125" s="60" t="s">
        <v>792</v>
      </c>
      <c r="J125" s="60" t="s">
        <v>794</v>
      </c>
      <c r="K125" s="60" t="s">
        <v>796</v>
      </c>
      <c r="L125" s="60" t="s">
        <v>262</v>
      </c>
      <c r="M125" s="60" t="s">
        <v>917</v>
      </c>
      <c r="N125" s="62" t="s">
        <v>763</v>
      </c>
      <c r="O125" s="62" t="s">
        <v>764</v>
      </c>
      <c r="P125" s="62" t="s">
        <v>765</v>
      </c>
      <c r="Q125" s="62" t="s">
        <v>766</v>
      </c>
      <c r="R125" s="62" t="s">
        <v>919</v>
      </c>
      <c r="S125" s="62" t="s">
        <v>1012</v>
      </c>
      <c r="T125" s="62" t="s">
        <v>1013</v>
      </c>
      <c r="U125" s="62" t="s">
        <v>1014</v>
      </c>
    </row>
    <row r="126" spans="1:21" x14ac:dyDescent="0.3">
      <c r="B126" s="7">
        <f xml:space="preserve"> ROW( co_impactTypes[[#This Row],[row_id]] ) - ROW(co_impactTypes[[#Headers],[row_id]] )</f>
        <v>1</v>
      </c>
      <c r="C126" s="14" t="s">
        <v>559</v>
      </c>
      <c r="D126" s="59" t="s">
        <v>800</v>
      </c>
      <c r="E126" s="83" t="s">
        <v>560</v>
      </c>
      <c r="F126" s="115" t="s">
        <v>560</v>
      </c>
      <c r="G126" s="63" t="s">
        <v>800</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2</v>
      </c>
      <c r="C127" s="14" t="s">
        <v>559</v>
      </c>
      <c r="D127" s="59" t="s">
        <v>801</v>
      </c>
      <c r="E127" s="83" t="s">
        <v>659</v>
      </c>
      <c r="F127" s="115" t="s">
        <v>659</v>
      </c>
      <c r="G127" s="63" t="s">
        <v>801</v>
      </c>
      <c r="H127" s="59" t="s">
        <v>1020</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3</v>
      </c>
      <c r="C128" s="14" t="s">
        <v>1005</v>
      </c>
      <c r="D128" s="59" t="s">
        <v>201</v>
      </c>
      <c r="E128" s="83" t="s">
        <v>927</v>
      </c>
      <c r="F128" s="115"/>
      <c r="G128" s="63" t="s">
        <v>1006</v>
      </c>
      <c r="H128" s="59"/>
      <c r="I128" s="59" t="s">
        <v>1009</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4</v>
      </c>
      <c r="C129" s="14" t="s">
        <v>1248</v>
      </c>
      <c r="D129" s="59" t="s">
        <v>201</v>
      </c>
      <c r="E129" s="83" t="s">
        <v>927</v>
      </c>
      <c r="F129" s="115"/>
      <c r="G129" s="63" t="s">
        <v>1266</v>
      </c>
      <c r="H129" s="59" t="s">
        <v>1020</v>
      </c>
      <c r="I129" s="59" t="s">
        <v>251</v>
      </c>
      <c r="J129" s="59" t="s">
        <v>256</v>
      </c>
      <c r="K129" s="59" t="s">
        <v>256</v>
      </c>
      <c r="L129" s="59" t="s">
        <v>786</v>
      </c>
      <c r="M129" s="59" t="s">
        <v>257</v>
      </c>
      <c r="N129" s="58">
        <v>0</v>
      </c>
      <c r="O129" s="58">
        <v>1</v>
      </c>
      <c r="P129" s="58">
        <v>0.4</v>
      </c>
      <c r="Q129" s="64">
        <f xml:space="preserve"> IF(co_impactTypes[[#This Row],[econMultiplierName]]="None", "N/A", 2010)</f>
        <v>2010</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5</v>
      </c>
      <c r="C130" s="14" t="s">
        <v>1229</v>
      </c>
      <c r="D130" s="59" t="s">
        <v>1166</v>
      </c>
      <c r="E130" s="59" t="s">
        <v>1166</v>
      </c>
      <c r="F130" s="59" t="s">
        <v>1166</v>
      </c>
      <c r="G130" s="63" t="s">
        <v>1170</v>
      </c>
      <c r="H130" s="59"/>
      <c r="I130" s="59" t="s">
        <v>256</v>
      </c>
      <c r="J130" s="59" t="s">
        <v>256</v>
      </c>
      <c r="K130" s="59"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6</v>
      </c>
      <c r="C131" s="14" t="s">
        <v>1229</v>
      </c>
      <c r="D131" s="59" t="s">
        <v>1167</v>
      </c>
      <c r="E131" s="59" t="s">
        <v>1167</v>
      </c>
      <c r="F131" s="59" t="s">
        <v>1167</v>
      </c>
      <c r="G131" s="63" t="s">
        <v>1170</v>
      </c>
      <c r="H131" s="59"/>
      <c r="I131" s="59" t="s">
        <v>256</v>
      </c>
      <c r="J131" s="125" t="s">
        <v>256</v>
      </c>
      <c r="K131" s="125"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7</v>
      </c>
      <c r="C132" s="14" t="s">
        <v>1229</v>
      </c>
      <c r="D132" s="59" t="s">
        <v>1168</v>
      </c>
      <c r="E132" s="59" t="s">
        <v>1168</v>
      </c>
      <c r="F132" s="59" t="s">
        <v>1168</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8</v>
      </c>
      <c r="C133" s="14" t="s">
        <v>1229</v>
      </c>
      <c r="D133" s="59" t="s">
        <v>1169</v>
      </c>
      <c r="E133" s="59" t="s">
        <v>1169</v>
      </c>
      <c r="F133" s="59" t="s">
        <v>1169</v>
      </c>
      <c r="G133" s="63" t="s">
        <v>1170</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9</v>
      </c>
      <c r="C134" s="14" t="s">
        <v>1230</v>
      </c>
      <c r="D134" s="59" t="s">
        <v>1223</v>
      </c>
      <c r="E134" s="63" t="s">
        <v>1223</v>
      </c>
      <c r="F134" s="115" t="s">
        <v>1223</v>
      </c>
      <c r="G134" s="63" t="s">
        <v>1233</v>
      </c>
      <c r="H134" s="59" t="s">
        <v>1234</v>
      </c>
      <c r="I134" s="59" t="s">
        <v>256</v>
      </c>
      <c r="J134" s="59" t="s">
        <v>256</v>
      </c>
      <c r="K134" s="59" t="s">
        <v>256</v>
      </c>
      <c r="L134" s="59" t="s">
        <v>1225</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10</v>
      </c>
      <c r="C135" s="14" t="s">
        <v>1230</v>
      </c>
      <c r="D135" s="59" t="s">
        <v>1224</v>
      </c>
      <c r="E135" s="63" t="s">
        <v>1224</v>
      </c>
      <c r="F135" s="115" t="s">
        <v>1224</v>
      </c>
      <c r="G135" s="63" t="s">
        <v>1233</v>
      </c>
      <c r="H135" s="59" t="s">
        <v>1234</v>
      </c>
      <c r="I135" s="59" t="s">
        <v>256</v>
      </c>
      <c r="J135" s="59" t="s">
        <v>256</v>
      </c>
      <c r="K135" s="59" t="s">
        <v>256</v>
      </c>
      <c r="L135" s="59" t="s">
        <v>1227</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11</v>
      </c>
      <c r="C136" s="14" t="s">
        <v>1159</v>
      </c>
      <c r="D136" s="59" t="s">
        <v>201</v>
      </c>
      <c r="E136" s="83" t="s">
        <v>927</v>
      </c>
      <c r="F136" s="115"/>
      <c r="G136" s="63" t="s">
        <v>768</v>
      </c>
      <c r="H136" s="59" t="s">
        <v>1020</v>
      </c>
      <c r="I136" s="59" t="s">
        <v>251</v>
      </c>
      <c r="J136" s="59" t="s">
        <v>256</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12</v>
      </c>
      <c r="C137" s="14" t="s">
        <v>86</v>
      </c>
      <c r="D137" s="59" t="s">
        <v>201</v>
      </c>
      <c r="E137" s="83" t="s">
        <v>927</v>
      </c>
      <c r="F137" s="83" t="s">
        <v>927</v>
      </c>
      <c r="G137" s="63" t="s">
        <v>803</v>
      </c>
      <c r="H137" s="59"/>
      <c r="I137" s="59" t="s">
        <v>256</v>
      </c>
      <c r="J137" s="59" t="s">
        <v>256</v>
      </c>
      <c r="K137" s="59" t="s">
        <v>256</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13</v>
      </c>
      <c r="C138" s="14" t="s">
        <v>220</v>
      </c>
      <c r="D138" s="59" t="s">
        <v>201</v>
      </c>
      <c r="E138" s="83" t="s">
        <v>927</v>
      </c>
      <c r="F138" s="115"/>
      <c r="G138" s="63" t="s">
        <v>996</v>
      </c>
      <c r="H138" s="59"/>
      <c r="I138" s="59" t="s">
        <v>256</v>
      </c>
      <c r="J138" s="59" t="s">
        <v>256</v>
      </c>
      <c r="K138" s="59" t="s">
        <v>261</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14</v>
      </c>
      <c r="C139" s="14" t="s">
        <v>1002</v>
      </c>
      <c r="D139" s="59" t="s">
        <v>201</v>
      </c>
      <c r="E139" s="83" t="s">
        <v>927</v>
      </c>
      <c r="F139" s="115"/>
      <c r="G139" s="66" t="s">
        <v>981</v>
      </c>
      <c r="H139" s="67"/>
      <c r="I139" s="59" t="s">
        <v>256</v>
      </c>
      <c r="J139" s="56" t="s">
        <v>256</v>
      </c>
      <c r="K139" s="56" t="s">
        <v>1003</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15</v>
      </c>
      <c r="C140" s="14" t="s">
        <v>17</v>
      </c>
      <c r="D140" s="59" t="s">
        <v>203</v>
      </c>
      <c r="E140" s="83" t="s">
        <v>16</v>
      </c>
      <c r="F140" s="115" t="s">
        <v>16</v>
      </c>
      <c r="G140" s="63" t="s">
        <v>810</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16</v>
      </c>
      <c r="C141" s="14" t="s">
        <v>17</v>
      </c>
      <c r="D141" s="59" t="s">
        <v>202</v>
      </c>
      <c r="E141" s="83" t="s">
        <v>14</v>
      </c>
      <c r="F141" s="115" t="s">
        <v>14</v>
      </c>
      <c r="G141" s="63" t="s">
        <v>811</v>
      </c>
      <c r="H141" s="59" t="s">
        <v>1020</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17</v>
      </c>
      <c r="C142" s="14" t="s">
        <v>221</v>
      </c>
      <c r="D142" s="59" t="s">
        <v>201</v>
      </c>
      <c r="E142" s="83" t="s">
        <v>927</v>
      </c>
      <c r="F142" s="83" t="s">
        <v>927</v>
      </c>
      <c r="G142" s="63" t="s">
        <v>224</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18</v>
      </c>
      <c r="C143" s="14" t="s">
        <v>84</v>
      </c>
      <c r="D143" s="59" t="s">
        <v>201</v>
      </c>
      <c r="E143" s="83" t="s">
        <v>927</v>
      </c>
      <c r="F143" s="115"/>
      <c r="G143" s="63" t="s">
        <v>1086</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19</v>
      </c>
      <c r="C144" s="14" t="s">
        <v>34</v>
      </c>
      <c r="D144" s="59" t="s">
        <v>201</v>
      </c>
      <c r="E144" s="83" t="s">
        <v>804</v>
      </c>
      <c r="F144" s="115"/>
      <c r="G144" s="63" t="s">
        <v>807</v>
      </c>
      <c r="H144" s="59" t="s">
        <v>1022</v>
      </c>
      <c r="I144" s="59" t="s">
        <v>759</v>
      </c>
      <c r="J144" s="59" t="s">
        <v>256</v>
      </c>
      <c r="K144" s="59" t="s">
        <v>256</v>
      </c>
      <c r="L144" s="59" t="s">
        <v>1010</v>
      </c>
      <c r="M144" s="59" t="s">
        <v>257</v>
      </c>
      <c r="N144" s="58">
        <v>0</v>
      </c>
      <c r="O144" s="58">
        <v>1</v>
      </c>
      <c r="P144" s="58">
        <v>1</v>
      </c>
      <c r="Q144" s="64">
        <f xml:space="preserve"> IF(co_impactTypes[[#This Row],[econMultiplierName]]="None", "N/A", 2010)</f>
        <v>2010</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20</v>
      </c>
      <c r="C145" s="14" t="s">
        <v>223</v>
      </c>
      <c r="D145" s="59" t="s">
        <v>201</v>
      </c>
      <c r="E145" s="83" t="s">
        <v>927</v>
      </c>
      <c r="F145" s="115"/>
      <c r="G145" s="63" t="s">
        <v>1163</v>
      </c>
      <c r="H145" s="59"/>
      <c r="I145" s="59" t="s">
        <v>256</v>
      </c>
      <c r="J145" s="59" t="s">
        <v>256</v>
      </c>
      <c r="K145" s="59" t="s">
        <v>256</v>
      </c>
      <c r="L145" s="59" t="s">
        <v>256</v>
      </c>
      <c r="M145" s="59" t="s">
        <v>256</v>
      </c>
      <c r="N145" s="58">
        <v>0</v>
      </c>
      <c r="O145" s="58">
        <v>1000000</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21</v>
      </c>
      <c r="C146" s="14" t="s">
        <v>1312</v>
      </c>
      <c r="D146" s="59" t="s">
        <v>201</v>
      </c>
      <c r="E146" s="83" t="s">
        <v>927</v>
      </c>
      <c r="F146" s="115"/>
      <c r="G146" s="63" t="s">
        <v>1314</v>
      </c>
      <c r="H146" s="59" t="s">
        <v>1020</v>
      </c>
      <c r="I146" s="59" t="s">
        <v>251</v>
      </c>
      <c r="J146" s="59" t="s">
        <v>1317</v>
      </c>
      <c r="K146" s="59" t="s">
        <v>1315</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22</v>
      </c>
      <c r="C147" s="14" t="s">
        <v>209</v>
      </c>
      <c r="D147" s="59" t="s">
        <v>201</v>
      </c>
      <c r="E147" s="83" t="s">
        <v>927</v>
      </c>
      <c r="F147" s="115"/>
      <c r="G147" s="66" t="s">
        <v>805</v>
      </c>
      <c r="H147" s="67"/>
      <c r="I147" s="59" t="s">
        <v>236</v>
      </c>
      <c r="J147" s="56" t="s">
        <v>256</v>
      </c>
      <c r="K147" s="56" t="s">
        <v>781</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23</v>
      </c>
      <c r="C148" s="14" t="s">
        <v>216</v>
      </c>
      <c r="D148" s="59" t="s">
        <v>201</v>
      </c>
      <c r="E148" s="83" t="s">
        <v>927</v>
      </c>
      <c r="F148" s="115"/>
      <c r="G148" s="66" t="s">
        <v>808</v>
      </c>
      <c r="H148" s="67"/>
      <c r="I148" s="59" t="s">
        <v>250</v>
      </c>
      <c r="J148" s="56" t="s">
        <v>256</v>
      </c>
      <c r="K148" s="56" t="s">
        <v>237</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24</v>
      </c>
      <c r="C149" s="14" t="s">
        <v>85</v>
      </c>
      <c r="D149" s="59" t="s">
        <v>982</v>
      </c>
      <c r="E149" s="83" t="s">
        <v>195</v>
      </c>
      <c r="F149" s="115" t="s">
        <v>195</v>
      </c>
      <c r="G149" s="63" t="s">
        <v>214</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25</v>
      </c>
      <c r="C150" s="14" t="s">
        <v>85</v>
      </c>
      <c r="D150" s="59" t="s">
        <v>217</v>
      </c>
      <c r="E150" s="83" t="s">
        <v>194</v>
      </c>
      <c r="F150" s="115" t="s">
        <v>194</v>
      </c>
      <c r="G150" s="63" t="s">
        <v>213</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26</v>
      </c>
      <c r="C151" s="14" t="s">
        <v>85</v>
      </c>
      <c r="D151" s="59" t="s">
        <v>204</v>
      </c>
      <c r="E151" s="83" t="s">
        <v>191</v>
      </c>
      <c r="F151" s="115" t="s">
        <v>191</v>
      </c>
      <c r="G151" s="63" t="s">
        <v>204</v>
      </c>
      <c r="H151" s="59" t="s">
        <v>1020</v>
      </c>
      <c r="I151" s="59" t="s">
        <v>251</v>
      </c>
      <c r="J151" s="59" t="s">
        <v>259</v>
      </c>
      <c r="K151" s="59" t="s">
        <v>256</v>
      </c>
      <c r="L151" s="59" t="s">
        <v>786</v>
      </c>
      <c r="M151" s="59" t="s">
        <v>257</v>
      </c>
      <c r="N151" s="58">
        <v>0</v>
      </c>
      <c r="O151" s="58">
        <v>1</v>
      </c>
      <c r="P151" s="58">
        <v>0.4</v>
      </c>
      <c r="Q151" s="64">
        <f xml:space="preserve"> IF(co_impactTypes[[#This Row],[econMultiplierName]]="None", "N/A", 2010)</f>
        <v>2010</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27</v>
      </c>
      <c r="C152" s="14" t="s">
        <v>85</v>
      </c>
      <c r="D152" s="59" t="s">
        <v>205</v>
      </c>
      <c r="E152" s="83" t="s">
        <v>193</v>
      </c>
      <c r="F152" s="115" t="s">
        <v>193</v>
      </c>
      <c r="G152" s="63" t="s">
        <v>212</v>
      </c>
      <c r="H152" s="59"/>
      <c r="I152" s="59" t="s">
        <v>251</v>
      </c>
      <c r="J152" s="59" t="s">
        <v>259</v>
      </c>
      <c r="K152" s="59" t="s">
        <v>256</v>
      </c>
      <c r="L152" s="59" t="s">
        <v>789</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7">
        <f xml:space="preserve"> ROW( co_impactTypes[[#This Row],[row_id]] ) - ROW(co_impactTypes[[#Headers],[row_id]] )</f>
        <v>28</v>
      </c>
      <c r="C153" s="14" t="s">
        <v>85</v>
      </c>
      <c r="D153" s="59" t="s">
        <v>249</v>
      </c>
      <c r="E153" s="83" t="s">
        <v>192</v>
      </c>
      <c r="F153" s="115" t="s">
        <v>192</v>
      </c>
      <c r="G153" s="63" t="s">
        <v>809</v>
      </c>
      <c r="H153" s="59"/>
      <c r="I153" s="59" t="s">
        <v>251</v>
      </c>
      <c r="J153" s="59" t="s">
        <v>259</v>
      </c>
      <c r="K153" s="59" t="s">
        <v>256</v>
      </c>
      <c r="L153" s="59" t="s">
        <v>812</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ht="21" x14ac:dyDescent="0.3">
      <c r="B154" s="7">
        <f xml:space="preserve"> ROW( co_impactTypes[[#This Row],[row_id]] ) - ROW(co_impactTypes[[#Headers],[row_id]] )</f>
        <v>29</v>
      </c>
      <c r="C154" s="14" t="s">
        <v>225</v>
      </c>
      <c r="D154" s="59" t="s">
        <v>201</v>
      </c>
      <c r="E154" s="83" t="s">
        <v>927</v>
      </c>
      <c r="F154" s="115"/>
      <c r="G154" s="63" t="s">
        <v>995</v>
      </c>
      <c r="H154" s="59"/>
      <c r="I154" s="59" t="s">
        <v>256</v>
      </c>
      <c r="J154" s="59" t="s">
        <v>256</v>
      </c>
      <c r="K154" s="59" t="s">
        <v>256</v>
      </c>
      <c r="L154" s="59" t="s">
        <v>256</v>
      </c>
      <c r="M154" s="59" t="s">
        <v>256</v>
      </c>
      <c r="N154" s="58">
        <v>0</v>
      </c>
      <c r="O154" s="58">
        <f>10^6</f>
        <v>1000000</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30</v>
      </c>
      <c r="C155" s="14" t="s">
        <v>983</v>
      </c>
      <c r="D155" s="59" t="s">
        <v>994</v>
      </c>
      <c r="E155" s="83" t="s">
        <v>804</v>
      </c>
      <c r="F155" s="115" t="s">
        <v>994</v>
      </c>
      <c r="G155" s="63" t="s">
        <v>994</v>
      </c>
      <c r="H155" s="59"/>
      <c r="I155" s="59" t="s">
        <v>251</v>
      </c>
      <c r="J155" s="59" t="s">
        <v>989</v>
      </c>
      <c r="K155" s="59" t="s">
        <v>256</v>
      </c>
      <c r="L155" s="59" t="s">
        <v>990</v>
      </c>
      <c r="M155" s="59" t="s">
        <v>257</v>
      </c>
      <c r="N155" s="58">
        <v>0</v>
      </c>
      <c r="O155" s="58">
        <v>1</v>
      </c>
      <c r="P155" s="58">
        <v>1</v>
      </c>
      <c r="Q155" s="64">
        <f xml:space="preserve"> IF(co_impactTypes[[#This Row],[econMultiplierName]]="None", "N/A", 2010)</f>
        <v>2010</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31</v>
      </c>
      <c r="C156" s="14" t="s">
        <v>983</v>
      </c>
      <c r="D156" s="59" t="s">
        <v>769</v>
      </c>
      <c r="E156" s="115" t="s">
        <v>769</v>
      </c>
      <c r="F156" s="115" t="s">
        <v>769</v>
      </c>
      <c r="G156" s="63" t="s">
        <v>769</v>
      </c>
      <c r="H156" s="59"/>
      <c r="I156" s="59" t="s">
        <v>251</v>
      </c>
      <c r="J156" s="59" t="s">
        <v>1011</v>
      </c>
      <c r="K156" s="59" t="s">
        <v>256</v>
      </c>
      <c r="L156" s="59" t="s">
        <v>991</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32</v>
      </c>
      <c r="C157" s="14" t="s">
        <v>983</v>
      </c>
      <c r="D157" s="59" t="s">
        <v>768</v>
      </c>
      <c r="E157" s="115" t="s">
        <v>768</v>
      </c>
      <c r="F157" s="115" t="s">
        <v>768</v>
      </c>
      <c r="G157" s="63" t="s">
        <v>768</v>
      </c>
      <c r="H157" s="59" t="s">
        <v>1020</v>
      </c>
      <c r="I157" s="59" t="s">
        <v>251</v>
      </c>
      <c r="J157" s="59" t="s">
        <v>988</v>
      </c>
      <c r="K157" s="59" t="s">
        <v>256</v>
      </c>
      <c r="L157" s="59" t="s">
        <v>786</v>
      </c>
      <c r="M157" s="59" t="s">
        <v>257</v>
      </c>
      <c r="N157" s="58">
        <v>0</v>
      </c>
      <c r="O157" s="58">
        <v>1</v>
      </c>
      <c r="P157" s="58">
        <v>0.4</v>
      </c>
      <c r="Q157" s="64">
        <f xml:space="preserve"> IF(co_impactTypes[[#This Row],[econMultiplierName]]="None", "N/A", 2010)</f>
        <v>2010</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33</v>
      </c>
      <c r="C158" s="14" t="s">
        <v>1306</v>
      </c>
      <c r="D158" s="59" t="s">
        <v>1307</v>
      </c>
      <c r="E158" s="83" t="s">
        <v>1309</v>
      </c>
      <c r="F158" s="115" t="s">
        <v>1309</v>
      </c>
      <c r="G158" s="63" t="s">
        <v>1307</v>
      </c>
      <c r="H158" s="59"/>
      <c r="I158" s="59" t="s">
        <v>256</v>
      </c>
      <c r="J158" s="59" t="s">
        <v>256</v>
      </c>
      <c r="K158" s="59" t="s">
        <v>256</v>
      </c>
      <c r="L158" s="59" t="s">
        <v>256</v>
      </c>
      <c r="M158" s="59" t="s">
        <v>256</v>
      </c>
      <c r="N158" s="58">
        <v>0</v>
      </c>
      <c r="O158" s="58">
        <v>1</v>
      </c>
      <c r="P158" s="58">
        <v>1</v>
      </c>
      <c r="Q158" s="64" t="str">
        <f xml:space="preserve"> IF(co_impactTypes[[#This Row],[econMultiplierName]]="None", "N/A", 2010)</f>
        <v>N/A</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34</v>
      </c>
      <c r="C159" s="14" t="s">
        <v>1306</v>
      </c>
      <c r="D159" s="59" t="s">
        <v>1308</v>
      </c>
      <c r="E159" s="83" t="s">
        <v>1310</v>
      </c>
      <c r="F159" s="115" t="s">
        <v>1310</v>
      </c>
      <c r="G159" s="63" t="s">
        <v>1308</v>
      </c>
      <c r="H159" s="59"/>
      <c r="I159" s="59" t="s">
        <v>256</v>
      </c>
      <c r="J159" s="59" t="s">
        <v>256</v>
      </c>
      <c r="K159" s="59" t="s">
        <v>256</v>
      </c>
      <c r="L159" s="59" t="s">
        <v>990</v>
      </c>
      <c r="M159" s="59" t="s">
        <v>257</v>
      </c>
      <c r="N159" s="58">
        <v>0</v>
      </c>
      <c r="O159" s="58">
        <v>1</v>
      </c>
      <c r="P159" s="58">
        <v>1</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35</v>
      </c>
      <c r="C160" s="14" t="s">
        <v>1306</v>
      </c>
      <c r="D160" s="59" t="s">
        <v>768</v>
      </c>
      <c r="E160" s="83" t="s">
        <v>768</v>
      </c>
      <c r="F160" s="115" t="s">
        <v>768</v>
      </c>
      <c r="G160" s="63" t="s">
        <v>768</v>
      </c>
      <c r="H160" s="59"/>
      <c r="I160" s="59" t="s">
        <v>256</v>
      </c>
      <c r="J160" s="59" t="s">
        <v>256</v>
      </c>
      <c r="K160" s="59" t="s">
        <v>256</v>
      </c>
      <c r="L160" s="59" t="s">
        <v>786</v>
      </c>
      <c r="M160" s="59" t="s">
        <v>257</v>
      </c>
      <c r="N160" s="58">
        <v>0</v>
      </c>
      <c r="O160" s="58">
        <v>1</v>
      </c>
      <c r="P160" s="58">
        <v>0.4</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36</v>
      </c>
      <c r="C161" s="14" t="s">
        <v>227</v>
      </c>
      <c r="D161" s="59" t="s">
        <v>201</v>
      </c>
      <c r="E161" s="83" t="s">
        <v>927</v>
      </c>
      <c r="F161" s="115"/>
      <c r="G161" s="63" t="s">
        <v>806</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37</v>
      </c>
      <c r="C162" s="14" t="s">
        <v>761</v>
      </c>
      <c r="D162" s="59" t="s">
        <v>769</v>
      </c>
      <c r="E162" s="83" t="s">
        <v>769</v>
      </c>
      <c r="F162" s="115" t="s">
        <v>769</v>
      </c>
      <c r="G162" s="63" t="s">
        <v>769</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38</v>
      </c>
      <c r="C163" s="14" t="s">
        <v>761</v>
      </c>
      <c r="D163" s="59" t="s">
        <v>768</v>
      </c>
      <c r="E163" s="83" t="s">
        <v>768</v>
      </c>
      <c r="F163" s="115" t="s">
        <v>768</v>
      </c>
      <c r="G163" s="63" t="s">
        <v>768</v>
      </c>
      <c r="H163" s="59" t="s">
        <v>1020</v>
      </c>
      <c r="I163" s="59" t="s">
        <v>251</v>
      </c>
      <c r="J163" s="59" t="s">
        <v>256</v>
      </c>
      <c r="K163" s="59" t="s">
        <v>256</v>
      </c>
      <c r="L163" s="59" t="s">
        <v>786</v>
      </c>
      <c r="M163" s="59" t="s">
        <v>257</v>
      </c>
      <c r="N163" s="58">
        <v>0</v>
      </c>
      <c r="O163" s="58">
        <v>1</v>
      </c>
      <c r="P163" s="58">
        <v>0.4</v>
      </c>
      <c r="Q163" s="64">
        <f xml:space="preserve"> IF(co_impactTypes[[#This Row],[econMultiplierName]]="None", "N/A", 2010)</f>
        <v>2010</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39</v>
      </c>
      <c r="C164" s="14" t="s">
        <v>761</v>
      </c>
      <c r="D164" s="59" t="s">
        <v>802</v>
      </c>
      <c r="E164" s="83" t="s">
        <v>772</v>
      </c>
      <c r="F164" s="115" t="s">
        <v>802</v>
      </c>
      <c r="G164" s="63" t="s">
        <v>802</v>
      </c>
      <c r="H164" s="59" t="s">
        <v>1021</v>
      </c>
      <c r="I164" s="59" t="s">
        <v>256</v>
      </c>
      <c r="J164" s="59" t="s">
        <v>256</v>
      </c>
      <c r="K164" s="59" t="s">
        <v>256</v>
      </c>
      <c r="L164" s="59" t="s">
        <v>771</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7">
        <f xml:space="preserve"> ROW( co_impactTypes[[#This Row],[row_id]] ) - ROW(co_impactTypes[[#Headers],[row_id]] )</f>
        <v>40</v>
      </c>
      <c r="C165" s="14" t="s">
        <v>1088</v>
      </c>
      <c r="D165" s="59" t="s">
        <v>201</v>
      </c>
      <c r="E165" s="83" t="s">
        <v>927</v>
      </c>
      <c r="F165" s="115"/>
      <c r="G165" s="63" t="s">
        <v>1099</v>
      </c>
      <c r="H165" s="59"/>
      <c r="I165" s="59" t="s">
        <v>256</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41</v>
      </c>
      <c r="C166" s="14" t="s">
        <v>89</v>
      </c>
      <c r="D166" s="59" t="s">
        <v>206</v>
      </c>
      <c r="E166" s="83" t="s">
        <v>90</v>
      </c>
      <c r="F166" s="115" t="s">
        <v>90</v>
      </c>
      <c r="G166" s="63" t="s">
        <v>997</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42</v>
      </c>
      <c r="C167" s="14" t="s">
        <v>89</v>
      </c>
      <c r="D167" s="59" t="s">
        <v>207</v>
      </c>
      <c r="E167" s="83" t="s">
        <v>91</v>
      </c>
      <c r="F167" s="115" t="s">
        <v>91</v>
      </c>
      <c r="G167" s="63" t="s">
        <v>998</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7">
        <f xml:space="preserve"> ROW( co_impactTypes[[#This Row],[row_id]] ) - ROW(co_impactTypes[[#Headers],[row_id]] )</f>
        <v>43</v>
      </c>
      <c r="C168" s="14" t="s">
        <v>89</v>
      </c>
      <c r="D168" s="59" t="s">
        <v>92</v>
      </c>
      <c r="E168" s="83" t="s">
        <v>92</v>
      </c>
      <c r="F168" s="115" t="s">
        <v>92</v>
      </c>
      <c r="G168" s="63" t="s">
        <v>999</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71" spans="1:21" ht="14.5" x14ac:dyDescent="0.35">
      <c r="A171" s="47"/>
      <c r="B171" s="48" t="s">
        <v>1161</v>
      </c>
      <c r="C171" s="48"/>
      <c r="D171" s="48"/>
      <c r="E171" s="48"/>
      <c r="F171" s="48"/>
      <c r="G171" s="48"/>
      <c r="H171" s="48"/>
      <c r="I171" s="48"/>
      <c r="J171" s="48"/>
      <c r="K171" s="48"/>
      <c r="L171" s="48"/>
      <c r="M171" s="48"/>
      <c r="N171" s="48"/>
      <c r="O171" s="48"/>
      <c r="P171" s="48"/>
      <c r="Q171" s="48"/>
      <c r="R171" s="48"/>
      <c r="S171" s="48"/>
      <c r="T171" s="48"/>
      <c r="U171" s="48"/>
    </row>
    <row r="173" spans="1:21" ht="14.5" x14ac:dyDescent="0.35">
      <c r="B173" s="60" t="s">
        <v>780</v>
      </c>
      <c r="C173" s="60" t="s">
        <v>254</v>
      </c>
      <c r="D173" s="60" t="s">
        <v>253</v>
      </c>
      <c r="E173" s="62" t="s">
        <v>813</v>
      </c>
      <c r="F173" s="62" t="s">
        <v>891</v>
      </c>
      <c r="G173" s="62" t="s">
        <v>892</v>
      </c>
      <c r="H173" s="62" t="s">
        <v>817</v>
      </c>
      <c r="I173" s="62" t="s">
        <v>909</v>
      </c>
      <c r="J173" s="60" t="s">
        <v>833</v>
      </c>
      <c r="K173" s="60" t="s">
        <v>1015</v>
      </c>
      <c r="R173" s="8"/>
      <c r="S173" s="8"/>
      <c r="T173" s="8"/>
    </row>
    <row r="174" spans="1:21" ht="21" x14ac:dyDescent="0.35">
      <c r="B174" s="12">
        <f xml:space="preserve"> ROW( co_scalarInfo[[#This Row],[row_id]] ) - ROW( co_scalarInfo[[#Headers],[row_id]] )</f>
        <v>1</v>
      </c>
      <c r="C174" s="57" t="s">
        <v>261</v>
      </c>
      <c r="D174" s="57" t="s">
        <v>260</v>
      </c>
      <c r="E174" s="135" t="s">
        <v>815</v>
      </c>
      <c r="F174" s="135" t="s">
        <v>895</v>
      </c>
      <c r="G174" s="135" t="s">
        <v>894</v>
      </c>
      <c r="H174" s="135">
        <v>2015</v>
      </c>
      <c r="I174" s="136" t="s">
        <v>910</v>
      </c>
      <c r="J174" s="69"/>
      <c r="K174" s="69" cm="1">
        <f t="array" ref="K174" xml:space="preserve"> SUMPRODUCT( --( co_scalarInfo[[#This Row],[scalarName]] = scalarDataframe[scalarName] ) )</f>
        <v>140</v>
      </c>
      <c r="R174"/>
      <c r="S174"/>
      <c r="T174"/>
    </row>
    <row r="175" spans="1:21" ht="21" x14ac:dyDescent="0.35">
      <c r="B175" s="12">
        <f xml:space="preserve"> ROW( co_scalarInfo[[#This Row],[row_id]] ) - ROW( co_scalarInfo[[#Headers],[row_id]] )</f>
        <v>2</v>
      </c>
      <c r="C175" s="63" t="s">
        <v>1003</v>
      </c>
      <c r="D175" s="57" t="s">
        <v>798</v>
      </c>
      <c r="E175" s="135" t="s">
        <v>815</v>
      </c>
      <c r="F175" s="135" t="s">
        <v>895</v>
      </c>
      <c r="G175" s="135" t="s">
        <v>894</v>
      </c>
      <c r="H175" s="137" t="s">
        <v>946</v>
      </c>
      <c r="I175" s="136" t="s">
        <v>910</v>
      </c>
      <c r="J175" s="69"/>
      <c r="K175" s="69" cm="1">
        <f t="array" ref="K175" xml:space="preserve"> SUMPRODUCT( --( co_scalarInfo[[#This Row],[scalarName]] = scalarDataframe[scalarName] ) )</f>
        <v>140</v>
      </c>
      <c r="R175"/>
      <c r="S175"/>
      <c r="T175"/>
    </row>
    <row r="176" spans="1:21" ht="14.5" x14ac:dyDescent="0.35">
      <c r="B176" s="12">
        <f xml:space="preserve"> ROW( co_scalarInfo[[#This Row],[row_id]] ) - ROW( co_scalarInfo[[#Headers],[row_id]] )</f>
        <v>3</v>
      </c>
      <c r="C176" s="63" t="s">
        <v>256</v>
      </c>
      <c r="D176" s="57" t="s">
        <v>915</v>
      </c>
      <c r="E176" s="135" t="s">
        <v>815</v>
      </c>
      <c r="F176" s="135" t="s">
        <v>785</v>
      </c>
      <c r="G176" s="135" t="s">
        <v>893</v>
      </c>
      <c r="H176" s="135" t="s">
        <v>201</v>
      </c>
      <c r="I176" s="136" t="s">
        <v>912</v>
      </c>
      <c r="J176" s="69" t="s">
        <v>916</v>
      </c>
      <c r="K176" s="69" cm="1">
        <f t="array" ref="K176" xml:space="preserve"> SUMPRODUCT( --( co_scalarInfo[[#This Row],[scalarName]] = scalarDataframe[scalarName] ) )</f>
        <v>0</v>
      </c>
      <c r="R176"/>
      <c r="S176"/>
      <c r="T176"/>
    </row>
    <row r="177" spans="2:20" ht="14.5" x14ac:dyDescent="0.35">
      <c r="B177" s="12">
        <f xml:space="preserve"> ROW( co_scalarInfo[[#This Row],[row_id]] ) - ROW( co_scalarInfo[[#Headers],[row_id]] )</f>
        <v>4</v>
      </c>
      <c r="C177" s="63" t="s">
        <v>781</v>
      </c>
      <c r="D177" s="57" t="s">
        <v>799</v>
      </c>
      <c r="E177" s="135" t="s">
        <v>815</v>
      </c>
      <c r="F177" s="135" t="s">
        <v>895</v>
      </c>
      <c r="G177" s="135" t="s">
        <v>893</v>
      </c>
      <c r="H177" s="137" t="s">
        <v>946</v>
      </c>
      <c r="I177" s="136" t="s">
        <v>910</v>
      </c>
      <c r="J177" s="69"/>
      <c r="K177" s="69" cm="1">
        <f t="array" ref="K177" xml:space="preserve"> SUMPRODUCT( --( co_scalarInfo[[#This Row],[scalarName]] = scalarDataframe[scalarName] ) )</f>
        <v>20</v>
      </c>
      <c r="R177"/>
      <c r="S177"/>
      <c r="T177"/>
    </row>
    <row r="178" spans="2:20" ht="42" x14ac:dyDescent="0.35">
      <c r="B178" s="12">
        <f xml:space="preserve"> ROW( co_scalarInfo[[#This Row],[row_id]] ) - ROW( co_scalarInfo[[#Headers],[row_id]] )</f>
        <v>5</v>
      </c>
      <c r="C178" s="63" t="s">
        <v>897</v>
      </c>
      <c r="D178" s="57" t="s">
        <v>900</v>
      </c>
      <c r="E178" s="135" t="s">
        <v>815</v>
      </c>
      <c r="F178" s="135" t="s">
        <v>895</v>
      </c>
      <c r="G178" s="135" t="s">
        <v>894</v>
      </c>
      <c r="H178" s="137" t="s">
        <v>946</v>
      </c>
      <c r="I178" s="136" t="s">
        <v>910</v>
      </c>
      <c r="J178" s="69" t="s">
        <v>899</v>
      </c>
      <c r="K178" s="69" cm="1">
        <f t="array" ref="K178" xml:space="preserve"> SUMPRODUCT( --( co_scalarInfo[[#This Row],[scalarName]] = scalarDataframe[scalarName] ) )</f>
        <v>157</v>
      </c>
      <c r="R178"/>
      <c r="S178"/>
      <c r="T178"/>
    </row>
    <row r="179" spans="2:20" ht="31.5" x14ac:dyDescent="0.35">
      <c r="B179" s="12">
        <f xml:space="preserve"> ROW( co_scalarInfo[[#This Row],[row_id]] ) - ROW( co_scalarInfo[[#Headers],[row_id]] )</f>
        <v>6</v>
      </c>
      <c r="C179" s="63" t="s">
        <v>896</v>
      </c>
      <c r="D179" s="57" t="s">
        <v>901</v>
      </c>
      <c r="E179" s="135" t="s">
        <v>815</v>
      </c>
      <c r="F179" s="135" t="s">
        <v>895</v>
      </c>
      <c r="G179" s="135" t="s">
        <v>894</v>
      </c>
      <c r="H179" s="137" t="s">
        <v>946</v>
      </c>
      <c r="I179" s="136" t="s">
        <v>910</v>
      </c>
      <c r="J179" s="69" t="s">
        <v>898</v>
      </c>
      <c r="K179" s="69" cm="1">
        <f t="array" ref="K179" xml:space="preserve"> SUMPRODUCT( --( co_scalarInfo[[#This Row],[scalarName]] = scalarDataframe[scalarName] ) )</f>
        <v>157</v>
      </c>
      <c r="R179"/>
      <c r="S179"/>
      <c r="T179"/>
    </row>
    <row r="180" spans="2:20" ht="14.5" x14ac:dyDescent="0.35">
      <c r="B180" s="12">
        <f xml:space="preserve"> ROW( co_scalarInfo[[#This Row],[row_id]] ) - ROW( co_scalarInfo[[#Headers],[row_id]] )</f>
        <v>7</v>
      </c>
      <c r="C180" s="63" t="s">
        <v>990</v>
      </c>
      <c r="D180" s="57" t="s">
        <v>992</v>
      </c>
      <c r="E180" s="135" t="s">
        <v>814</v>
      </c>
      <c r="F180" s="135" t="s">
        <v>785</v>
      </c>
      <c r="G180" s="135" t="s">
        <v>893</v>
      </c>
      <c r="H180" s="137" t="s">
        <v>946</v>
      </c>
      <c r="I180" s="136" t="s">
        <v>910</v>
      </c>
      <c r="J180" s="69"/>
      <c r="K180" s="69" cm="1">
        <f t="array" ref="K180" xml:space="preserve"> SUMPRODUCT( --( co_scalarInfo[[#This Row],[scalarName]] = scalarDataframe[scalarName] ) )</f>
        <v>1</v>
      </c>
      <c r="R180"/>
      <c r="S180"/>
      <c r="T180"/>
    </row>
    <row r="181" spans="2:20" ht="14.5" x14ac:dyDescent="0.35">
      <c r="B181" s="12">
        <f xml:space="preserve"> ROW( co_scalarInfo[[#This Row],[row_id]] ) - ROW( co_scalarInfo[[#Headers],[row_id]] )</f>
        <v>8</v>
      </c>
      <c r="C181" s="57" t="s">
        <v>1010</v>
      </c>
      <c r="D181" s="57" t="s">
        <v>767</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5">
      <c r="B182" s="12">
        <f xml:space="preserve"> ROW( co_scalarInfo[[#This Row],[row_id]] ) - ROW( co_scalarInfo[[#Headers],[row_id]] )</f>
        <v>9</v>
      </c>
      <c r="C182" s="63" t="s">
        <v>812</v>
      </c>
      <c r="D182" s="57" t="s">
        <v>791</v>
      </c>
      <c r="E182" s="135" t="s">
        <v>814</v>
      </c>
      <c r="F182" s="135" t="s">
        <v>785</v>
      </c>
      <c r="G182" s="135" t="s">
        <v>893</v>
      </c>
      <c r="H182" s="135">
        <v>2015</v>
      </c>
      <c r="I182" s="136" t="s">
        <v>910</v>
      </c>
      <c r="J182" s="69"/>
      <c r="K182" s="69" cm="1">
        <f t="array" ref="K182" xml:space="preserve"> SUMPRODUCT( --( co_scalarInfo[[#This Row],[scalarName]] = scalarDataframe[scalarName] ) )</f>
        <v>1</v>
      </c>
      <c r="R182"/>
      <c r="S182"/>
      <c r="T182"/>
    </row>
    <row r="183" spans="2:20" ht="21" x14ac:dyDescent="0.3">
      <c r="B183" s="12">
        <f xml:space="preserve"> ROW( co_scalarInfo[[#This Row],[row_id]] ) - ROW( co_scalarInfo[[#Headers],[row_id]] )</f>
        <v>10</v>
      </c>
      <c r="C183" s="63" t="s">
        <v>788</v>
      </c>
      <c r="D183" s="57" t="s">
        <v>787</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ht="21" x14ac:dyDescent="0.3">
      <c r="B184" s="12">
        <f xml:space="preserve"> ROW( co_scalarInfo[[#This Row],[row_id]] ) - ROW( co_scalarInfo[[#Headers],[row_id]] )</f>
        <v>11</v>
      </c>
      <c r="C184" s="63" t="s">
        <v>789</v>
      </c>
      <c r="D184" s="57" t="s">
        <v>790</v>
      </c>
      <c r="E184" s="135" t="s">
        <v>814</v>
      </c>
      <c r="F184" s="135" t="s">
        <v>785</v>
      </c>
      <c r="G184" s="135" t="s">
        <v>893</v>
      </c>
      <c r="H184" s="135">
        <v>2015</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12</v>
      </c>
      <c r="C185" s="63" t="s">
        <v>256</v>
      </c>
      <c r="D185" s="57" t="s">
        <v>915</v>
      </c>
      <c r="E185" s="135" t="s">
        <v>814</v>
      </c>
      <c r="F185" s="135" t="s">
        <v>785</v>
      </c>
      <c r="G185" s="135" t="s">
        <v>893</v>
      </c>
      <c r="H185" s="135" t="s">
        <v>201</v>
      </c>
      <c r="I185" s="136" t="s">
        <v>912</v>
      </c>
      <c r="J185" s="69" t="s">
        <v>916</v>
      </c>
      <c r="K185" s="69" cm="1">
        <f t="array" ref="K185" xml:space="preserve"> SUMPRODUCT( --( co_scalarInfo[[#This Row],[scalarName]] = scalarDataframe[scalarName] ) )</f>
        <v>0</v>
      </c>
    </row>
    <row r="186" spans="2:20" x14ac:dyDescent="0.3">
      <c r="B186" s="12">
        <f xml:space="preserve"> ROW( co_scalarInfo[[#This Row],[row_id]] ) - ROW( co_scalarInfo[[#Headers],[row_id]] )</f>
        <v>13</v>
      </c>
      <c r="C186" s="63" t="s">
        <v>1225</v>
      </c>
      <c r="D186" s="57" t="s">
        <v>1226</v>
      </c>
      <c r="E186" s="135" t="s">
        <v>814</v>
      </c>
      <c r="F186" s="135" t="s">
        <v>785</v>
      </c>
      <c r="G186" s="135" t="s">
        <v>894</v>
      </c>
      <c r="H186" s="137">
        <v>2015</v>
      </c>
      <c r="I186" s="136"/>
      <c r="J186" s="69"/>
      <c r="K186" s="69" cm="1">
        <f t="array" ref="K186" xml:space="preserve"> SUMPRODUCT( --( co_scalarInfo[[#This Row],[scalarName]] = scalarDataframe[scalarName] ) )</f>
        <v>7</v>
      </c>
    </row>
    <row r="187" spans="2:20" ht="21" x14ac:dyDescent="0.3">
      <c r="B187" s="12">
        <f xml:space="preserve"> ROW( co_scalarInfo[[#This Row],[row_id]] ) - ROW( co_scalarInfo[[#Headers],[row_id]] )</f>
        <v>14</v>
      </c>
      <c r="C187" s="63" t="s">
        <v>991</v>
      </c>
      <c r="D187" s="57" t="s">
        <v>993</v>
      </c>
      <c r="E187" s="135" t="s">
        <v>814</v>
      </c>
      <c r="F187" s="135" t="s">
        <v>785</v>
      </c>
      <c r="G187" s="135" t="s">
        <v>893</v>
      </c>
      <c r="H187" s="137" t="s">
        <v>946</v>
      </c>
      <c r="I187" s="136" t="s">
        <v>910</v>
      </c>
      <c r="J187" s="69"/>
      <c r="K187" s="69" cm="1">
        <f t="array" ref="K187" xml:space="preserve"> SUMPRODUCT( --( co_scalarInfo[[#This Row],[scalarName]] = scalarDataframe[scalarName] ) )</f>
        <v>1</v>
      </c>
    </row>
    <row r="188" spans="2:20" x14ac:dyDescent="0.3">
      <c r="B188" s="12">
        <f xml:space="preserve"> ROW( co_scalarInfo[[#This Row],[row_id]] ) - ROW( co_scalarInfo[[#Headers],[row_id]] )</f>
        <v>15</v>
      </c>
      <c r="C188" s="63" t="s">
        <v>1227</v>
      </c>
      <c r="D188" s="57" t="s">
        <v>1228</v>
      </c>
      <c r="E188" s="135" t="s">
        <v>814</v>
      </c>
      <c r="F188" s="135" t="s">
        <v>785</v>
      </c>
      <c r="G188" s="135" t="s">
        <v>894</v>
      </c>
      <c r="H188" s="137">
        <v>2015</v>
      </c>
      <c r="I188" s="136"/>
      <c r="J188" s="69"/>
      <c r="K188" s="69" cm="1">
        <f t="array" ref="K188" xml:space="preserve"> SUMPRODUCT( --( co_scalarInfo[[#This Row],[scalarName]] = scalarDataframe[scalarName] ) )</f>
        <v>7</v>
      </c>
    </row>
    <row r="189" spans="2:20" x14ac:dyDescent="0.3">
      <c r="B189" s="12">
        <f xml:space="preserve"> ROW( co_scalarInfo[[#This Row],[row_id]] ) - ROW( co_scalarInfo[[#Headers],[row_id]] )</f>
        <v>16</v>
      </c>
      <c r="C189" s="57" t="s">
        <v>786</v>
      </c>
      <c r="D189" s="57" t="s">
        <v>18</v>
      </c>
      <c r="E189" s="135" t="s">
        <v>814</v>
      </c>
      <c r="F189" s="135" t="s">
        <v>785</v>
      </c>
      <c r="G189" s="135" t="s">
        <v>893</v>
      </c>
      <c r="H189" s="135">
        <v>2010</v>
      </c>
      <c r="I189" s="136" t="s">
        <v>910</v>
      </c>
      <c r="J189" s="69"/>
      <c r="K189" s="69" cm="1">
        <f t="array" ref="K189" xml:space="preserve"> SUMPRODUCT( --( co_scalarInfo[[#This Row],[scalarName]] = scalarDataframe[scalarName] ) )</f>
        <v>1</v>
      </c>
    </row>
    <row r="190" spans="2:20" x14ac:dyDescent="0.3">
      <c r="B190" s="12">
        <f xml:space="preserve"> ROW( co_scalarInfo[[#This Row],[row_id]] ) - ROW( co_scalarInfo[[#Headers],[row_id]] )</f>
        <v>17</v>
      </c>
      <c r="C190" s="63" t="s">
        <v>771</v>
      </c>
      <c r="D190" s="57" t="s">
        <v>770</v>
      </c>
      <c r="E190" s="135" t="s">
        <v>814</v>
      </c>
      <c r="F190" s="135" t="s">
        <v>785</v>
      </c>
      <c r="G190" s="135" t="s">
        <v>894</v>
      </c>
      <c r="H190" s="135">
        <v>2015</v>
      </c>
      <c r="I190" s="136" t="s">
        <v>910</v>
      </c>
      <c r="J190" s="69"/>
      <c r="K190" s="69" cm="1">
        <f t="array" ref="K190" xml:space="preserve"> SUMPRODUCT( --( co_scalarInfo[[#This Row],[scalarName]] = scalarDataframe[scalarName] ) )</f>
        <v>7</v>
      </c>
    </row>
    <row r="191" spans="2:20" x14ac:dyDescent="0.3">
      <c r="B191" s="12">
        <f xml:space="preserve"> ROW( co_scalarInfo[[#This Row],[row_id]] ) - ROW( co_scalarInfo[[#Headers],[row_id]] )</f>
        <v>18</v>
      </c>
      <c r="C191" s="63" t="s">
        <v>258</v>
      </c>
      <c r="D191" s="57" t="s">
        <v>793</v>
      </c>
      <c r="E191" s="135" t="s">
        <v>834</v>
      </c>
      <c r="F191" s="135" t="s">
        <v>895</v>
      </c>
      <c r="G191" s="135" t="s">
        <v>894</v>
      </c>
      <c r="H191" s="137" t="s">
        <v>946</v>
      </c>
      <c r="I191" s="136" t="s">
        <v>910</v>
      </c>
      <c r="J191" s="69"/>
      <c r="K191" s="69" cm="1">
        <f t="array" ref="K191" xml:space="preserve"> SUMPRODUCT( --( co_scalarInfo[[#This Row],[scalarName]] = scalarDataframe[scalarName] ) )</f>
        <v>42</v>
      </c>
    </row>
    <row r="192" spans="2:20" x14ac:dyDescent="0.3">
      <c r="B192" s="12">
        <f xml:space="preserve"> ROW( co_scalarInfo[[#This Row],[row_id]] ) - ROW( co_scalarInfo[[#Headers],[row_id]] )</f>
        <v>19</v>
      </c>
      <c r="C192" s="63" t="s">
        <v>256</v>
      </c>
      <c r="D192" s="57" t="s">
        <v>915</v>
      </c>
      <c r="E192" s="135" t="s">
        <v>834</v>
      </c>
      <c r="F192" s="135" t="s">
        <v>785</v>
      </c>
      <c r="G192" s="135" t="s">
        <v>893</v>
      </c>
      <c r="H192" s="135" t="s">
        <v>201</v>
      </c>
      <c r="I192" s="136" t="s">
        <v>912</v>
      </c>
      <c r="J192" s="69" t="s">
        <v>916</v>
      </c>
      <c r="K192" s="69" cm="1">
        <f t="array" ref="K192" xml:space="preserve"> SUMPRODUCT( --( co_scalarInfo[[#This Row],[scalarName]] = scalarDataframe[scalarName] ) )</f>
        <v>0</v>
      </c>
    </row>
    <row r="193" spans="1:21" x14ac:dyDescent="0.3">
      <c r="B193" s="12">
        <f xml:space="preserve"> ROW( co_scalarInfo[[#This Row],[row_id]] ) - ROW( co_scalarInfo[[#Headers],[row_id]] )</f>
        <v>20</v>
      </c>
      <c r="C193" s="63" t="s">
        <v>259</v>
      </c>
      <c r="D193" s="57" t="s">
        <v>795</v>
      </c>
      <c r="E193" s="135" t="s">
        <v>834</v>
      </c>
      <c r="F193" s="135" t="s">
        <v>895</v>
      </c>
      <c r="G193" s="135" t="s">
        <v>894</v>
      </c>
      <c r="H193" s="137" t="s">
        <v>946</v>
      </c>
      <c r="I193" s="136" t="s">
        <v>910</v>
      </c>
      <c r="J193" s="69"/>
      <c r="K193" s="69" cm="1">
        <f t="array" ref="K193" xml:space="preserve"> SUMPRODUCT( --( co_scalarInfo[[#This Row],[scalarName]] = scalarDataframe[scalarName] ) )</f>
        <v>140</v>
      </c>
    </row>
    <row r="194" spans="1:21" ht="21" x14ac:dyDescent="0.3">
      <c r="B194" s="12">
        <f xml:space="preserve"> ROW( co_scalarInfo[[#This Row],[row_id]] ) - ROW( co_scalarInfo[[#Headers],[row_id]] )</f>
        <v>21</v>
      </c>
      <c r="C194" s="63" t="s">
        <v>1011</v>
      </c>
      <c r="D194" s="57" t="s">
        <v>986</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22</v>
      </c>
      <c r="C195" s="63" t="s">
        <v>988</v>
      </c>
      <c r="D195" s="57" t="s">
        <v>985</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ht="21" x14ac:dyDescent="0.3">
      <c r="B196" s="12">
        <f xml:space="preserve"> ROW( co_scalarInfo[[#This Row],[row_id]] ) - ROW( co_scalarInfo[[#Headers],[row_id]] )</f>
        <v>23</v>
      </c>
      <c r="C196" s="63" t="s">
        <v>989</v>
      </c>
      <c r="D196" s="57" t="s">
        <v>987</v>
      </c>
      <c r="E196" s="135" t="s">
        <v>834</v>
      </c>
      <c r="F196" s="135" t="s">
        <v>785</v>
      </c>
      <c r="G196" s="135" t="s">
        <v>893</v>
      </c>
      <c r="H196" s="137" t="s">
        <v>946</v>
      </c>
      <c r="I196" s="136" t="s">
        <v>910</v>
      </c>
      <c r="J196" s="69"/>
      <c r="K196" s="69" cm="1">
        <f t="array" ref="K196" xml:space="preserve"> SUMPRODUCT( --( co_scalarInfo[[#This Row],[scalarName]] = scalarDataframe[scalarName] ) )</f>
        <v>1</v>
      </c>
    </row>
    <row r="197" spans="1:21" x14ac:dyDescent="0.3">
      <c r="B197" s="12">
        <f xml:space="preserve"> ROW( co_scalarInfo[[#This Row],[row_id]] ) - ROW( co_scalarInfo[[#Headers],[row_id]] )</f>
        <v>24</v>
      </c>
      <c r="C197" s="63" t="s">
        <v>1009</v>
      </c>
      <c r="D197" s="57" t="s">
        <v>1008</v>
      </c>
      <c r="E197" s="135" t="s">
        <v>816</v>
      </c>
      <c r="F197" s="135" t="s">
        <v>895</v>
      </c>
      <c r="G197" s="135" t="s">
        <v>894</v>
      </c>
      <c r="H197" s="137" t="s">
        <v>946</v>
      </c>
      <c r="I197" s="136" t="s">
        <v>910</v>
      </c>
      <c r="J197" s="69"/>
      <c r="K197" s="69" cm="1">
        <f t="array" ref="K197" xml:space="preserve"> SUMPRODUCT( --( co_scalarInfo[[#This Row],[scalarName]] = scalarDataframe[scalarName] ) )</f>
        <v>136</v>
      </c>
    </row>
    <row r="198" spans="1:21" x14ac:dyDescent="0.3">
      <c r="B198" s="12">
        <f xml:space="preserve"> ROW( co_scalarInfo[[#This Row],[row_id]] ) - ROW( co_scalarInfo[[#Headers],[row_id]] )</f>
        <v>25</v>
      </c>
      <c r="C198" s="63" t="s">
        <v>759</v>
      </c>
      <c r="D198" s="57" t="s">
        <v>758</v>
      </c>
      <c r="E198" s="135" t="s">
        <v>816</v>
      </c>
      <c r="F198" s="135" t="s">
        <v>895</v>
      </c>
      <c r="G198" s="135" t="s">
        <v>894</v>
      </c>
      <c r="H198" s="137" t="s">
        <v>946</v>
      </c>
      <c r="I198" s="136" t="s">
        <v>910</v>
      </c>
      <c r="J198" s="69"/>
      <c r="K198" s="69" cm="1">
        <f t="array" ref="K198" xml:space="preserve"> SUMPRODUCT( --( co_scalarInfo[[#This Row],[scalarName]] = scalarDataframe[scalarName] ) )</f>
        <v>119</v>
      </c>
    </row>
    <row r="199" spans="1:21" x14ac:dyDescent="0.3">
      <c r="B199" s="12">
        <f xml:space="preserve"> ROW( co_scalarInfo[[#This Row],[row_id]] ) - ROW( co_scalarInfo[[#Headers],[row_id]] )</f>
        <v>26</v>
      </c>
      <c r="C199" s="63" t="s">
        <v>256</v>
      </c>
      <c r="D199" s="57" t="s">
        <v>915</v>
      </c>
      <c r="E199" s="135" t="s">
        <v>816</v>
      </c>
      <c r="F199" s="135" t="s">
        <v>785</v>
      </c>
      <c r="G199" s="135" t="s">
        <v>893</v>
      </c>
      <c r="H199" s="135" t="s">
        <v>201</v>
      </c>
      <c r="I199" s="136" t="s">
        <v>912</v>
      </c>
      <c r="J199" s="69" t="s">
        <v>916</v>
      </c>
      <c r="K199" s="69" cm="1">
        <f t="array" ref="K199" xml:space="preserve"> SUMPRODUCT( --( co_scalarInfo[[#This Row],[scalarName]] = scalarDataframe[scalarName] ) )</f>
        <v>0</v>
      </c>
    </row>
    <row r="200" spans="1:21" x14ac:dyDescent="0.3">
      <c r="B200" s="12">
        <f xml:space="preserve"> ROW( co_scalarInfo[[#This Row],[row_id]] ) - ROW( co_scalarInfo[[#Headers],[row_id]] )</f>
        <v>27</v>
      </c>
      <c r="C200" s="63" t="s">
        <v>236</v>
      </c>
      <c r="D200" s="57" t="s">
        <v>215</v>
      </c>
      <c r="E200" s="135" t="s">
        <v>816</v>
      </c>
      <c r="F200" s="135" t="s">
        <v>785</v>
      </c>
      <c r="G200" s="135" t="s">
        <v>894</v>
      </c>
      <c r="H200" s="137" t="s">
        <v>946</v>
      </c>
      <c r="I200" s="136" t="s">
        <v>910</v>
      </c>
      <c r="J200" s="69"/>
      <c r="K200" s="69" cm="1">
        <f t="array" ref="K200" xml:space="preserve"> SUMPRODUCT( --( co_scalarInfo[[#This Row],[scalarName]] = scalarDataframe[scalarName] ) )</f>
        <v>8</v>
      </c>
    </row>
    <row r="201" spans="1:21" x14ac:dyDescent="0.3">
      <c r="B201" s="12">
        <f xml:space="preserve"> ROW( co_scalarInfo[[#This Row],[row_id]] ) - ROW( co_scalarInfo[[#Headers],[row_id]] )</f>
        <v>28</v>
      </c>
      <c r="C201" s="63" t="s">
        <v>251</v>
      </c>
      <c r="D201" s="57" t="s">
        <v>211</v>
      </c>
      <c r="E201" s="135" t="s">
        <v>816</v>
      </c>
      <c r="F201" s="135" t="s">
        <v>895</v>
      </c>
      <c r="G201" s="135" t="s">
        <v>894</v>
      </c>
      <c r="H201" s="137" t="s">
        <v>946</v>
      </c>
      <c r="I201" s="136" t="s">
        <v>911</v>
      </c>
      <c r="J201" s="69"/>
      <c r="K201" s="69" cm="1">
        <f t="array" ref="K201" xml:space="preserve"> SUMPRODUCT( --( co_scalarInfo[[#This Row],[scalarName]] = scalarDataframe[scalarName] ) )</f>
        <v>0</v>
      </c>
    </row>
    <row r="202" spans="1:21" x14ac:dyDescent="0.3">
      <c r="B202" s="12">
        <f xml:space="preserve"> ROW( co_scalarInfo[[#This Row],[row_id]] ) - ROW( co_scalarInfo[[#Headers],[row_id]] )</f>
        <v>29</v>
      </c>
      <c r="C202" s="63" t="s">
        <v>250</v>
      </c>
      <c r="D202" s="57" t="s">
        <v>797</v>
      </c>
      <c r="E202" s="135" t="s">
        <v>816</v>
      </c>
      <c r="F202" s="135" t="s">
        <v>785</v>
      </c>
      <c r="G202" s="135" t="s">
        <v>894</v>
      </c>
      <c r="H202" s="137" t="s">
        <v>946</v>
      </c>
      <c r="I202" s="136" t="s">
        <v>910</v>
      </c>
      <c r="J202" s="69"/>
      <c r="K202" s="69" cm="1">
        <f t="array" ref="K202" xml:space="preserve"> SUMPRODUCT( --( co_scalarInfo[[#This Row],[scalarName]] = scalarDataframe[scalarName] ) )</f>
        <v>7</v>
      </c>
    </row>
    <row r="203" spans="1:21" ht="21" x14ac:dyDescent="0.3">
      <c r="B203" s="12">
        <f xml:space="preserve"> ROW( co_scalarInfo[[#This Row],[row_id]] ) - ROW( co_scalarInfo[[#Headers],[row_id]] )</f>
        <v>30</v>
      </c>
      <c r="C203" s="63" t="s">
        <v>1315</v>
      </c>
      <c r="D203" s="57" t="s">
        <v>1316</v>
      </c>
      <c r="E203" s="135" t="s">
        <v>815</v>
      </c>
      <c r="F203" s="135" t="s">
        <v>895</v>
      </c>
      <c r="G203" s="135" t="s">
        <v>894</v>
      </c>
      <c r="H203" s="137" t="s">
        <v>946</v>
      </c>
      <c r="I203" s="136"/>
      <c r="J203" s="69"/>
      <c r="K203" s="69" cm="1">
        <f t="array" ref="K203" xml:space="preserve"> SUMPRODUCT( --( co_scalarInfo[[#This Row],[scalarName]] = scalarDataframe[scalarName] ) )</f>
        <v>196</v>
      </c>
    </row>
    <row r="204" spans="1:21" ht="21" x14ac:dyDescent="0.3">
      <c r="B204" s="12">
        <f xml:space="preserve"> ROW( co_scalarInfo[[#This Row],[row_id]] ) - ROW( co_scalarInfo[[#Headers],[row_id]] )</f>
        <v>31</v>
      </c>
      <c r="C204" s="63" t="s">
        <v>1317</v>
      </c>
      <c r="D204" s="57" t="s">
        <v>1318</v>
      </c>
      <c r="E204" s="135" t="s">
        <v>834</v>
      </c>
      <c r="F204" s="135" t="s">
        <v>895</v>
      </c>
      <c r="G204" s="135" t="s">
        <v>894</v>
      </c>
      <c r="H204" s="137" t="s">
        <v>946</v>
      </c>
      <c r="I204" s="136"/>
      <c r="J204" s="69"/>
      <c r="K204" s="69" cm="1">
        <f t="array" ref="K204" xml:space="preserve"> SUMPRODUCT( --( co_scalarInfo[[#This Row],[scalarName]] = scalarDataframe[scalarName] ) )</f>
        <v>196</v>
      </c>
    </row>
    <row r="207" spans="1:21" ht="14.5" x14ac:dyDescent="0.35">
      <c r="A207" s="47"/>
      <c r="B207" s="48" t="s">
        <v>1029</v>
      </c>
      <c r="C207" s="48"/>
      <c r="D207" s="48"/>
      <c r="E207" s="48"/>
      <c r="F207" s="48"/>
      <c r="G207" s="48"/>
      <c r="H207" s="48"/>
      <c r="I207" s="48"/>
      <c r="J207" s="48"/>
      <c r="K207" s="48"/>
      <c r="L207" s="48"/>
      <c r="M207" s="48"/>
      <c r="N207" s="48"/>
      <c r="O207" s="48"/>
      <c r="P207" s="48"/>
      <c r="Q207" s="48"/>
      <c r="R207" s="48"/>
      <c r="S207" s="48"/>
      <c r="T207" s="48"/>
      <c r="U207" s="48"/>
    </row>
    <row r="209" spans="1:21" x14ac:dyDescent="0.3">
      <c r="B209" s="60" t="s">
        <v>780</v>
      </c>
      <c r="C209" s="60" t="s">
        <v>917</v>
      </c>
      <c r="D209" s="60" t="s">
        <v>944</v>
      </c>
      <c r="E209" s="61" t="s">
        <v>817</v>
      </c>
    </row>
    <row r="210" spans="1:21" x14ac:dyDescent="0.3">
      <c r="B210" s="7">
        <f xml:space="preserve"> ROW( co_econMultipliers[[#This Row],[row_id]] ) - ROW( co_econMultipliers[[#Headers],[row_id]] )</f>
        <v>1</v>
      </c>
      <c r="C210" s="14" t="s">
        <v>904</v>
      </c>
      <c r="D210" s="79" t="s">
        <v>913</v>
      </c>
      <c r="E210" s="80">
        <v>2015</v>
      </c>
    </row>
    <row r="211" spans="1:21" x14ac:dyDescent="0.3">
      <c r="B211" s="7">
        <f xml:space="preserve"> ROW( co_econMultipliers[[#This Row],[row_id]] ) - ROW( co_econMultipliers[[#Headers],[row_id]] )</f>
        <v>2</v>
      </c>
      <c r="C211" s="14" t="s">
        <v>257</v>
      </c>
      <c r="D211" s="79" t="s">
        <v>914</v>
      </c>
      <c r="E211" s="80" t="s">
        <v>201</v>
      </c>
    </row>
    <row r="212" spans="1:21" x14ac:dyDescent="0.3">
      <c r="B212" s="7">
        <f xml:space="preserve"> ROW( co_econMultipliers[[#This Row],[row_id]] ) - ROW( co_econMultipliers[[#Headers],[row_id]] )</f>
        <v>3</v>
      </c>
      <c r="C212" s="14" t="s">
        <v>256</v>
      </c>
      <c r="D212" s="79" t="s">
        <v>915</v>
      </c>
      <c r="E212" s="80" t="s">
        <v>201</v>
      </c>
    </row>
    <row r="215" spans="1:21" ht="14.5" x14ac:dyDescent="0.35">
      <c r="A215" s="47"/>
      <c r="B215" s="48" t="s">
        <v>1030</v>
      </c>
      <c r="C215" s="48"/>
      <c r="D215" s="48"/>
      <c r="E215" s="48"/>
      <c r="F215" s="48"/>
      <c r="G215" s="48"/>
      <c r="H215" s="48"/>
      <c r="I215" s="48"/>
      <c r="J215" s="48"/>
      <c r="K215" s="48"/>
      <c r="L215" s="48"/>
      <c r="M215" s="48"/>
      <c r="N215" s="48"/>
      <c r="O215" s="48"/>
      <c r="P215" s="48"/>
      <c r="Q215" s="48"/>
      <c r="R215" s="48"/>
      <c r="S215" s="48"/>
      <c r="T215" s="48"/>
      <c r="U215" s="48"/>
    </row>
    <row r="217" spans="1:21" x14ac:dyDescent="0.3">
      <c r="B217" s="60" t="s">
        <v>780</v>
      </c>
      <c r="C217" s="60" t="s">
        <v>785</v>
      </c>
      <c r="D217" s="60" t="s">
        <v>255</v>
      </c>
    </row>
    <row r="218" spans="1:21" x14ac:dyDescent="0.3">
      <c r="B218" s="7">
        <f xml:space="preserve"> ROW( co_constants[[#This Row],[row_id]] ) - ROW( co_constants[[#Headers],[row_id]] )</f>
        <v>1</v>
      </c>
      <c r="C218" s="14" t="s">
        <v>782</v>
      </c>
      <c r="D218" s="79">
        <f xml:space="preserve"> 10^9</f>
        <v>1000000000</v>
      </c>
    </row>
    <row r="219" spans="1:21" x14ac:dyDescent="0.3">
      <c r="B219" s="7">
        <f xml:space="preserve"> ROW( co_constants[[#This Row],[row_id]] ) - ROW( co_constants[[#Headers],[row_id]] )</f>
        <v>2</v>
      </c>
      <c r="C219" s="14" t="s">
        <v>783</v>
      </c>
      <c r="D219" s="79">
        <f xml:space="preserve"> 10^6</f>
        <v>1000000</v>
      </c>
    </row>
    <row r="220" spans="1:21" x14ac:dyDescent="0.3">
      <c r="B220" s="7">
        <f xml:space="preserve"> ROW( co_constants[[#This Row],[row_id]] ) - ROW( co_constants[[#Headers],[row_id]] )</f>
        <v>3</v>
      </c>
      <c r="C220" s="14" t="s">
        <v>784</v>
      </c>
      <c r="D220" s="79">
        <v>1000</v>
      </c>
    </row>
    <row r="223" spans="1:21" ht="14.5" x14ac:dyDescent="0.35">
      <c r="A223" s="47"/>
      <c r="B223" s="48" t="s">
        <v>1027</v>
      </c>
      <c r="C223" s="48"/>
      <c r="D223" s="48"/>
      <c r="E223" s="48"/>
      <c r="F223" s="48"/>
      <c r="G223" s="48"/>
      <c r="H223" s="48"/>
      <c r="I223" s="48"/>
      <c r="J223" s="48"/>
      <c r="K223" s="48"/>
      <c r="L223" s="48"/>
      <c r="M223" s="48"/>
      <c r="N223" s="48"/>
      <c r="O223" s="48"/>
      <c r="P223" s="48"/>
      <c r="Q223" s="48"/>
      <c r="R223" s="48"/>
      <c r="S223" s="48"/>
      <c r="T223" s="48"/>
      <c r="U223" s="48"/>
    </row>
    <row r="225" spans="1:21" x14ac:dyDescent="0.3">
      <c r="B225" s="72" t="s">
        <v>780</v>
      </c>
      <c r="C225" s="72" t="s">
        <v>959</v>
      </c>
      <c r="D225" s="72" t="s">
        <v>960</v>
      </c>
      <c r="E225" s="73" t="s">
        <v>966</v>
      </c>
      <c r="F225" s="73" t="s">
        <v>968</v>
      </c>
      <c r="G225" s="74" t="s">
        <v>964</v>
      </c>
      <c r="H225" s="74" t="s">
        <v>965</v>
      </c>
      <c r="I225" s="70" t="s">
        <v>973</v>
      </c>
      <c r="J225" s="70" t="s">
        <v>979</v>
      </c>
      <c r="K225" s="70" t="s">
        <v>980</v>
      </c>
      <c r="L225" s="70" t="s">
        <v>974</v>
      </c>
      <c r="M225" s="71" t="s">
        <v>978</v>
      </c>
      <c r="N225" s="71" t="s">
        <v>977</v>
      </c>
    </row>
    <row r="226" spans="1:21" x14ac:dyDescent="0.3">
      <c r="B226" s="7">
        <f xml:space="preserve"> ROW( co_modelTypes[[#This Row],[row_id]] ) - ROW( co_modelTypes[[#Headers],[row_id]] )</f>
        <v>1</v>
      </c>
      <c r="C226" s="14" t="s">
        <v>819</v>
      </c>
      <c r="D226" s="14" t="s">
        <v>958</v>
      </c>
      <c r="E226" s="75" t="s">
        <v>967</v>
      </c>
      <c r="F226" s="75" t="s">
        <v>962</v>
      </c>
      <c r="G226" s="76" t="s">
        <v>956</v>
      </c>
      <c r="H226" s="76" t="s">
        <v>957</v>
      </c>
      <c r="I226" s="77">
        <v>1995</v>
      </c>
      <c r="J226" s="77">
        <v>6</v>
      </c>
      <c r="K226" s="77">
        <v>30</v>
      </c>
      <c r="L226" s="77">
        <v>1</v>
      </c>
      <c r="M226" s="32">
        <v>7</v>
      </c>
      <c r="N226" s="32" cm="1">
        <f t="array" ref="N226" xml:space="preserve"> SUMPRODUCT( --( co_models[modelType] = co_modelTypes[[#This Row],[modelType_id]] ) )</f>
        <v>8</v>
      </c>
    </row>
    <row r="227" spans="1:21" x14ac:dyDescent="0.3">
      <c r="B227" s="7">
        <f xml:space="preserve"> ROW( co_modelTypes[[#This Row],[row_id]] ) - ROW( co_modelTypes[[#Headers],[row_id]] )</f>
        <v>2</v>
      </c>
      <c r="C227" s="14" t="s">
        <v>818</v>
      </c>
      <c r="D227" s="14" t="s">
        <v>961</v>
      </c>
      <c r="E227" s="75" t="s">
        <v>963</v>
      </c>
      <c r="F227" s="75" t="s">
        <v>963</v>
      </c>
      <c r="G227" s="76" t="s">
        <v>818</v>
      </c>
      <c r="H227" s="76" t="s">
        <v>1062</v>
      </c>
      <c r="I227" s="77">
        <v>2000</v>
      </c>
      <c r="J227" s="77">
        <v>250</v>
      </c>
      <c r="K227" s="77">
        <v>1000</v>
      </c>
      <c r="L227" s="77">
        <v>25</v>
      </c>
      <c r="M227" s="32">
        <v>6</v>
      </c>
      <c r="N227" s="32" cm="1">
        <f t="array" ref="N227" xml:space="preserve"> SUMPRODUCT( --( co_models[modelType] = co_modelTypes[[#This Row],[modelType_id]] ) )</f>
        <v>6</v>
      </c>
    </row>
    <row r="230" spans="1:21" ht="14.5" x14ac:dyDescent="0.35">
      <c r="A230" s="47"/>
      <c r="B230" s="48" t="s">
        <v>1035</v>
      </c>
      <c r="C230" s="48"/>
      <c r="D230" s="48"/>
      <c r="E230" s="48"/>
      <c r="F230" s="48"/>
      <c r="G230" s="48"/>
      <c r="H230" s="48"/>
      <c r="I230" s="48"/>
      <c r="J230" s="48"/>
      <c r="K230" s="48"/>
      <c r="L230" s="48"/>
      <c r="M230" s="48"/>
      <c r="N230" s="48"/>
      <c r="O230" s="48"/>
      <c r="P230" s="48"/>
      <c r="Q230" s="48"/>
      <c r="R230" s="48"/>
      <c r="S230" s="48"/>
      <c r="T230" s="48"/>
      <c r="U230" s="48"/>
    </row>
    <row r="232" spans="1:21" x14ac:dyDescent="0.3">
      <c r="B232" s="78" t="s">
        <v>780</v>
      </c>
      <c r="C232" s="60" t="s">
        <v>905</v>
      </c>
      <c r="D232" s="60" t="s">
        <v>890</v>
      </c>
      <c r="E232" s="60" t="s">
        <v>906</v>
      </c>
      <c r="F232" s="61" t="s">
        <v>907</v>
      </c>
      <c r="G232" s="61" t="s">
        <v>955</v>
      </c>
    </row>
    <row r="233" spans="1:21" x14ac:dyDescent="0.3">
      <c r="B233" s="7">
        <f xml:space="preserve"> ROW( co_models[[#This Row],[row_id]] ) - ROW( co_models[[#Headers],[row_id]] )</f>
        <v>1</v>
      </c>
      <c r="C233" s="79" t="s">
        <v>0</v>
      </c>
      <c r="D233" s="79" t="s">
        <v>819</v>
      </c>
      <c r="E233" s="60" t="str">
        <f xml:space="preserve"> IF( co_models[[#This Row],[modelType]] = "gcm", SUBSTITUTE( SUBSTITUTE( co_models[[#This Row],[model_id]], " ", "." ), "-", "." ),
         VALUE( SUBSTITUTE( co_models[[#This Row],[model_id]], "p", "." ) ) * 100 &amp; "cm" )</f>
        <v>CanESM2</v>
      </c>
      <c r="F233" s="61" t="str">
        <f xml:space="preserve"> SUBSTITUTE( co_models[[#This Row],[model_dot]], ".", "_" )</f>
        <v>CanESM2</v>
      </c>
      <c r="G233" s="61" t="str">
        <f xml:space="preserve"> IF( co_models[[#This Row],[modelType]] = "gcm", co_models[[#This Row],[model_id]], SUBSTITUTE( co_models[[#This Row],[model_dot]], "cm", " cm" ) )</f>
        <v>CanESM2</v>
      </c>
    </row>
    <row r="234" spans="1:21" x14ac:dyDescent="0.3">
      <c r="B234" s="7">
        <f xml:space="preserve"> ROW( co_models[[#This Row],[row_id]] ) - ROW( co_models[[#Headers],[row_id]] )</f>
        <v>2</v>
      </c>
      <c r="C234" s="79" t="s">
        <v>1</v>
      </c>
      <c r="D234" s="79" t="s">
        <v>819</v>
      </c>
      <c r="E234" s="60" t="str">
        <f xml:space="preserve"> IF( co_models[[#This Row],[modelType]] = "gcm", SUBSTITUTE( SUBSTITUTE( co_models[[#This Row],[model_id]], " ", "." ), "-", "." ),
         VALUE( SUBSTITUTE( co_models[[#This Row],[model_id]], "p", "." ) ) * 100 &amp; "cm" )</f>
        <v>CCSM4</v>
      </c>
      <c r="F234" s="61" t="str">
        <f xml:space="preserve"> SUBSTITUTE( co_models[[#This Row],[model_dot]], ".", "_" )</f>
        <v>CCSM4</v>
      </c>
      <c r="G234" s="61" t="str">
        <f xml:space="preserve"> IF( co_models[[#This Row],[modelType]] = "gcm", co_models[[#This Row],[model_id]], SUBSTITUTE( co_models[[#This Row],[model_dot]], "cm", " cm" ) )</f>
        <v>CCSM4</v>
      </c>
    </row>
    <row r="235" spans="1:21" x14ac:dyDescent="0.3">
      <c r="B235" s="7">
        <f xml:space="preserve"> ROW( co_models[[#This Row],[row_id]] ) - ROW( co_models[[#Headers],[row_id]] )</f>
        <v>3</v>
      </c>
      <c r="C235" s="79" t="s">
        <v>2</v>
      </c>
      <c r="D235" s="79" t="s">
        <v>819</v>
      </c>
      <c r="E235" s="60" t="str">
        <f xml:space="preserve"> IF( co_models[[#This Row],[modelType]] = "gcm", SUBSTITUTE( SUBSTITUTE( co_models[[#This Row],[model_id]], " ", "." ), "-", "." ),
         VALUE( SUBSTITUTE( co_models[[#This Row],[model_id]], "p", "." ) ) * 100 &amp; "cm" )</f>
        <v>GISS.E2.R</v>
      </c>
      <c r="F235" s="61" t="str">
        <f xml:space="preserve"> SUBSTITUTE( co_models[[#This Row],[model_dot]], ".", "_" )</f>
        <v>GISS_E2_R</v>
      </c>
      <c r="G235" s="61" t="str">
        <f xml:space="preserve"> IF( co_models[[#This Row],[modelType]] = "gcm", co_models[[#This Row],[model_id]], SUBSTITUTE( co_models[[#This Row],[model_dot]], "cm", " cm" ) )</f>
        <v>GISS-E2-R</v>
      </c>
    </row>
    <row r="236" spans="1:21" x14ac:dyDescent="0.3">
      <c r="B236" s="7">
        <f xml:space="preserve"> ROW( co_models[[#This Row],[row_id]] ) - ROW( co_models[[#Headers],[row_id]] )</f>
        <v>4</v>
      </c>
      <c r="C236" s="79" t="s">
        <v>3</v>
      </c>
      <c r="D236" s="79" t="s">
        <v>819</v>
      </c>
      <c r="E236" s="60" t="str">
        <f xml:space="preserve"> IF( co_models[[#This Row],[modelType]] = "gcm", SUBSTITUTE( SUBSTITUTE( co_models[[#This Row],[model_id]], " ", "." ), "-", "." ),
         VALUE( SUBSTITUTE( co_models[[#This Row],[model_id]], "p", "." ) ) * 100 &amp; "cm" )</f>
        <v>HadGEM2.ES</v>
      </c>
      <c r="F236" s="61" t="str">
        <f xml:space="preserve"> SUBSTITUTE( co_models[[#This Row],[model_dot]], ".", "_" )</f>
        <v>HadGEM2_ES</v>
      </c>
      <c r="G236" s="61" t="str">
        <f xml:space="preserve"> IF( co_models[[#This Row],[modelType]] = "gcm", co_models[[#This Row],[model_id]], SUBSTITUTE( co_models[[#This Row],[model_dot]], "cm", " cm" ) )</f>
        <v>HadGEM2-ES</v>
      </c>
    </row>
    <row r="237" spans="1:21" x14ac:dyDescent="0.3">
      <c r="B237" s="7">
        <f xml:space="preserve"> ROW( co_models[[#This Row],[row_id]] ) - ROW( co_models[[#Headers],[row_id]] )</f>
        <v>5</v>
      </c>
      <c r="C237" s="79" t="s">
        <v>4</v>
      </c>
      <c r="D237" s="79" t="s">
        <v>819</v>
      </c>
      <c r="E237" s="60" t="str">
        <f xml:space="preserve"> IF( co_models[[#This Row],[modelType]] = "gcm", SUBSTITUTE( SUBSTITUTE( co_models[[#This Row],[model_id]], " ", "." ), "-", "." ),
         VALUE( SUBSTITUTE( co_models[[#This Row],[model_id]], "p", "." ) ) * 100 &amp; "cm" )</f>
        <v>MIROC5</v>
      </c>
      <c r="F237" s="61" t="str">
        <f xml:space="preserve"> SUBSTITUTE( co_models[[#This Row],[model_dot]], ".", "_" )</f>
        <v>MIROC5</v>
      </c>
      <c r="G237" s="61" t="str">
        <f xml:space="preserve"> IF( co_models[[#This Row],[modelType]] = "gcm", co_models[[#This Row],[model_id]], SUBSTITUTE( co_models[[#This Row],[model_dot]], "cm", " cm" ) )</f>
        <v>MIROC5</v>
      </c>
    </row>
    <row r="238" spans="1:21" x14ac:dyDescent="0.3">
      <c r="B238" s="7">
        <f xml:space="preserve"> ROW( co_models[[#This Row],[row_id]] ) - ROW( co_models[[#Headers],[row_id]] )</f>
        <v>6</v>
      </c>
      <c r="C238" s="79" t="s">
        <v>5</v>
      </c>
      <c r="D238" s="79" t="s">
        <v>819</v>
      </c>
      <c r="E238" s="60" t="str">
        <f xml:space="preserve"> IF( co_models[[#This Row],[modelType]] = "gcm", SUBSTITUTE( SUBSTITUTE( co_models[[#This Row],[model_id]], " ", "." ), "-", "." ),
         VALUE( SUBSTITUTE( co_models[[#This Row],[model_id]], "p", "." ) ) * 100 &amp; "cm" )</f>
        <v>GFDL.CM3</v>
      </c>
      <c r="F238" s="61" t="str">
        <f xml:space="preserve"> SUBSTITUTE( co_models[[#This Row],[model_dot]], ".", "_" )</f>
        <v>GFDL_CM3</v>
      </c>
      <c r="G238" s="61" t="str">
        <f xml:space="preserve"> IF( co_models[[#This Row],[modelType]] = "gcm", co_models[[#This Row],[model_id]], SUBSTITUTE( co_models[[#This Row],[model_dot]], "cm", " cm" ) )</f>
        <v>GFDL-CM3</v>
      </c>
    </row>
    <row r="239" spans="1:21" x14ac:dyDescent="0.3">
      <c r="B239" s="7">
        <f xml:space="preserve"> ROW( co_models[[#This Row],[row_id]] ) - ROW( co_models[[#Headers],[row_id]] )</f>
        <v>7</v>
      </c>
      <c r="C239" s="79" t="s">
        <v>1089</v>
      </c>
      <c r="D239" s="79" t="s">
        <v>819</v>
      </c>
      <c r="E239" s="60" t="str">
        <f xml:space="preserve"> IF( co_models[[#This Row],[modelType]] = "gcm", SUBSTITUTE( SUBSTITUTE( co_models[[#This Row],[model_id]], " ", "." ), "-", "." ),
         VALUE( SUBSTITUTE( co_models[[#This Row],[model_id]], "p", "." ) ) * 100 &amp; "cm" )</f>
        <v>MRI.CGCM3</v>
      </c>
      <c r="F239" s="61" t="str">
        <f xml:space="preserve"> SUBSTITUTE( co_models[[#This Row],[model_dot]], ".", "_" )</f>
        <v>MRI_CGCM3</v>
      </c>
      <c r="G239" s="61" t="str">
        <f xml:space="preserve"> IF( co_models[[#This Row],[modelType]] = "gcm", co_models[[#This Row],[model_id]], SUBSTITUTE( co_models[[#This Row],[model_dot]], "cm", " cm" ) )</f>
        <v>MRI-CGCM3</v>
      </c>
    </row>
    <row r="240" spans="1:21" x14ac:dyDescent="0.3">
      <c r="B240" s="7">
        <f xml:space="preserve"> ROW( co_models[[#This Row],[row_id]] ) - ROW( co_models[[#Headers],[row_id]] )</f>
        <v>8</v>
      </c>
      <c r="C240" s="79" t="s">
        <v>1087</v>
      </c>
      <c r="D240" s="79" t="s">
        <v>819</v>
      </c>
      <c r="E240" s="60" t="str">
        <f xml:space="preserve"> IF( co_models[[#This Row],[modelType]] = "gcm", SUBSTITUTE( SUBSTITUTE( co_models[[#This Row],[model_id]], " ", "." ), "-", "." ),
         VALUE( SUBSTITUTE( co_models[[#This Row],[model_id]], "p", "." ) ) * 100 &amp; "cm" )</f>
        <v>GCM.Ensemble</v>
      </c>
      <c r="F240" s="61" t="str">
        <f xml:space="preserve"> SUBSTITUTE( co_models[[#This Row],[model_dot]], ".", "_" )</f>
        <v>GCM_Ensemble</v>
      </c>
      <c r="G240" s="61" t="str">
        <f xml:space="preserve"> IF( co_models[[#This Row],[modelType]] = "gcm", co_models[[#This Row],[model_id]], SUBSTITUTE( co_models[[#This Row],[model_dot]], "cm", " cm" ) )</f>
        <v>GCM Ensemble</v>
      </c>
    </row>
    <row r="241" spans="1:21" x14ac:dyDescent="0.3">
      <c r="B241" s="7">
        <f xml:space="preserve"> ROW( co_models[[#This Row],[row_id]] ) - ROW( co_models[[#Headers],[row_id]] )</f>
        <v>9</v>
      </c>
      <c r="C241" s="79" t="s">
        <v>948</v>
      </c>
      <c r="D241" s="79" t="s">
        <v>818</v>
      </c>
      <c r="E241" s="61" t="str">
        <f xml:space="preserve"> IF( co_models[[#This Row],[modelType]] = "gcm", SUBSTITUTE( SUBSTITUTE( co_models[[#This Row],[model_id]], " ", "." ), "-", "." ),
         VALUE( SUBSTITUTE( co_models[[#This Row],[model_id]], "p", "." ) ) * 100 &amp; "cm" )</f>
        <v>30cm</v>
      </c>
      <c r="F241" s="61" t="str">
        <f xml:space="preserve"> SUBSTITUTE( co_models[[#This Row],[model_dot]], ".", "_" )</f>
        <v>30cm</v>
      </c>
      <c r="G241" s="61" t="str">
        <f xml:space="preserve"> IF( co_models[[#This Row],[modelType]] = "gcm", co_models[[#This Row],[model_id]], SUBSTITUTE( co_models[[#This Row],[model_dot]], "cm", " cm" ) )</f>
        <v>30 cm</v>
      </c>
    </row>
    <row r="242" spans="1:21" x14ac:dyDescent="0.3">
      <c r="B242" s="7">
        <f xml:space="preserve"> ROW( co_models[[#This Row],[row_id]] ) - ROW( co_models[[#Headers],[row_id]] )</f>
        <v>10</v>
      </c>
      <c r="C242" s="79" t="s">
        <v>949</v>
      </c>
      <c r="D242" s="79" t="s">
        <v>818</v>
      </c>
      <c r="E242" s="61" t="str">
        <f xml:space="preserve"> IF( co_models[[#This Row],[modelType]] = "gcm", SUBSTITUTE( SUBSTITUTE( co_models[[#This Row],[model_id]], " ", "." ), "-", "." ),
         VALUE( SUBSTITUTE( co_models[[#This Row],[model_id]], "p", "." ) ) * 100 &amp; "cm" )</f>
        <v>50cm</v>
      </c>
      <c r="F242" s="61" t="str">
        <f xml:space="preserve"> SUBSTITUTE( co_models[[#This Row],[model_dot]], ".", "_" )</f>
        <v>50cm</v>
      </c>
      <c r="G242" s="61" t="str">
        <f xml:space="preserve"> IF( co_models[[#This Row],[modelType]] = "gcm", co_models[[#This Row],[model_id]], SUBSTITUTE( co_models[[#This Row],[model_dot]], "cm", " cm" ) )</f>
        <v>50 cm</v>
      </c>
    </row>
    <row r="243" spans="1:21" x14ac:dyDescent="0.3">
      <c r="B243" s="7">
        <f xml:space="preserve"> ROW( co_models[[#This Row],[row_id]] ) - ROW( co_models[[#Headers],[row_id]] )</f>
        <v>11</v>
      </c>
      <c r="C243" s="79" t="s">
        <v>950</v>
      </c>
      <c r="D243" s="79" t="s">
        <v>818</v>
      </c>
      <c r="E243" s="61" t="str">
        <f xml:space="preserve"> IF( co_models[[#This Row],[modelType]] = "gcm", SUBSTITUTE( SUBSTITUTE( co_models[[#This Row],[model_id]], " ", "." ), "-", "." ),
         VALUE( SUBSTITUTE( co_models[[#This Row],[model_id]], "p", "." ) ) * 100 &amp; "cm" )</f>
        <v>100cm</v>
      </c>
      <c r="F243" s="61" t="str">
        <f xml:space="preserve"> SUBSTITUTE( co_models[[#This Row],[model_dot]], ".", "_" )</f>
        <v>100cm</v>
      </c>
      <c r="G243" s="61" t="str">
        <f xml:space="preserve"> IF( co_models[[#This Row],[modelType]] = "gcm", co_models[[#This Row],[model_id]], SUBSTITUTE( co_models[[#This Row],[model_dot]], "cm", " cm" ) )</f>
        <v>100 cm</v>
      </c>
    </row>
    <row r="244" spans="1:21" x14ac:dyDescent="0.3">
      <c r="B244" s="7">
        <f xml:space="preserve"> ROW( co_models[[#This Row],[row_id]] ) - ROW( co_models[[#Headers],[row_id]] )</f>
        <v>12</v>
      </c>
      <c r="C244" s="79" t="s">
        <v>951</v>
      </c>
      <c r="D244" s="79" t="s">
        <v>818</v>
      </c>
      <c r="E244" s="61" t="str">
        <f xml:space="preserve"> IF( co_models[[#This Row],[modelType]] = "gcm", SUBSTITUTE( SUBSTITUTE( co_models[[#This Row],[model_id]], " ", "." ), "-", "." ),
         VALUE( SUBSTITUTE( co_models[[#This Row],[model_id]], "p", "." ) ) * 100 &amp; "cm" )</f>
        <v>150cm</v>
      </c>
      <c r="F244" s="61" t="str">
        <f xml:space="preserve"> SUBSTITUTE( co_models[[#This Row],[model_dot]], ".", "_" )</f>
        <v>150cm</v>
      </c>
      <c r="G244" s="61" t="str">
        <f xml:space="preserve"> IF( co_models[[#This Row],[modelType]] = "gcm", co_models[[#This Row],[model_id]], SUBSTITUTE( co_models[[#This Row],[model_dot]], "cm", " cm" ) )</f>
        <v>150 cm</v>
      </c>
    </row>
    <row r="245" spans="1:21" x14ac:dyDescent="0.3">
      <c r="B245" s="7">
        <f xml:space="preserve"> ROW( co_models[[#This Row],[row_id]] ) - ROW( co_models[[#Headers],[row_id]] )</f>
        <v>13</v>
      </c>
      <c r="C245" s="79" t="s">
        <v>952</v>
      </c>
      <c r="D245" s="79" t="s">
        <v>818</v>
      </c>
      <c r="E245" s="61" t="str">
        <f xml:space="preserve"> IF( co_models[[#This Row],[modelType]] = "gcm", SUBSTITUTE( SUBSTITUTE( co_models[[#This Row],[model_id]], " ", "." ), "-", "." ),
         VALUE( SUBSTITUTE( co_models[[#This Row],[model_id]], "p", "." ) ) * 100 &amp; "cm" )</f>
        <v>200cm</v>
      </c>
      <c r="F245" s="61" t="str">
        <f xml:space="preserve"> SUBSTITUTE( co_models[[#This Row],[model_dot]], ".", "_" )</f>
        <v>200cm</v>
      </c>
      <c r="G245" s="61" t="str">
        <f xml:space="preserve"> IF( co_models[[#This Row],[modelType]] = "gcm", co_models[[#This Row],[model_id]], SUBSTITUTE( co_models[[#This Row],[model_dot]], "cm", " cm" ) )</f>
        <v>200 cm</v>
      </c>
    </row>
    <row r="246" spans="1:21" x14ac:dyDescent="0.3">
      <c r="B246" s="7">
        <f xml:space="preserve"> ROW( co_models[[#This Row],[row_id]] ) - ROW( co_models[[#Headers],[row_id]] )</f>
        <v>14</v>
      </c>
      <c r="C246" s="79" t="s">
        <v>953</v>
      </c>
      <c r="D246" s="79" t="s">
        <v>818</v>
      </c>
      <c r="E246" s="61" t="str">
        <f xml:space="preserve"> IF( co_models[[#This Row],[modelType]] = "gcm", SUBSTITUTE( SUBSTITUTE( co_models[[#This Row],[model_id]], " ", "." ), "-", "." ),
         VALUE( SUBSTITUTE( co_models[[#This Row],[model_id]], "p", "." ) ) * 100 &amp; "cm" )</f>
        <v>250cm</v>
      </c>
      <c r="F246" s="61" t="str">
        <f xml:space="preserve"> SUBSTITUTE( co_models[[#This Row],[model_dot]], ".", "_" )</f>
        <v>250cm</v>
      </c>
      <c r="G246" s="61" t="str">
        <f xml:space="preserve"> IF( co_models[[#This Row],[modelType]] = "gcm", co_models[[#This Row],[model_id]], SUBSTITUTE( co_models[[#This Row],[model_dot]], "cm", " cm" ) )</f>
        <v>250 cm</v>
      </c>
    </row>
    <row r="249" spans="1:21" ht="14.5" x14ac:dyDescent="0.3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3">
      <c r="B251" s="78" t="s">
        <v>780</v>
      </c>
      <c r="C251" s="60" t="s">
        <v>234</v>
      </c>
      <c r="D251" s="60" t="s">
        <v>820</v>
      </c>
      <c r="E251" s="61" t="s">
        <v>821</v>
      </c>
    </row>
    <row r="252" spans="1:21" x14ac:dyDescent="0.3">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3">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3">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3">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3">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3">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3">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4.5" x14ac:dyDescent="0.35">
      <c r="A261" s="47"/>
      <c r="B261" s="48" t="s">
        <v>1044</v>
      </c>
      <c r="C261" s="48"/>
      <c r="D261" s="48"/>
      <c r="E261" s="48"/>
      <c r="F261" s="48"/>
      <c r="G261" s="48"/>
      <c r="H261" s="48"/>
      <c r="I261" s="48"/>
      <c r="J261" s="48"/>
      <c r="K261" s="48"/>
      <c r="L261" s="48"/>
      <c r="M261" s="48"/>
      <c r="N261" s="48"/>
      <c r="O261" s="48"/>
      <c r="P261" s="48"/>
      <c r="Q261" s="48"/>
      <c r="R261" s="48"/>
      <c r="S261" s="48"/>
      <c r="T261" s="48"/>
      <c r="U261" s="48"/>
    </row>
    <row r="263" spans="1:21" x14ac:dyDescent="0.3">
      <c r="B263" s="60" t="s">
        <v>780</v>
      </c>
      <c r="C263" s="60" t="s">
        <v>1045</v>
      </c>
      <c r="D263" s="60" t="s">
        <v>1049</v>
      </c>
      <c r="E263" s="60" t="s">
        <v>1055</v>
      </c>
      <c r="F263" s="60" t="s">
        <v>1070</v>
      </c>
      <c r="G263" s="60" t="s">
        <v>1069</v>
      </c>
      <c r="H263" s="62" t="s">
        <v>1052</v>
      </c>
      <c r="I263" s="62" t="s">
        <v>1060</v>
      </c>
      <c r="J263" s="62" t="s">
        <v>1061</v>
      </c>
      <c r="K263" s="62" t="s">
        <v>1063</v>
      </c>
      <c r="L263" s="62" t="s">
        <v>218</v>
      </c>
    </row>
    <row r="264" spans="1:21" x14ac:dyDescent="0.3">
      <c r="B264" s="7">
        <f xml:space="preserve"> ROW( co_inputScenarioInfo[[#This Row],[row_id]] ) - ROW( co_inputScenarioInfo[[#Headers],[row_id]] )</f>
        <v>1</v>
      </c>
      <c r="C264" s="14" t="s">
        <v>1046</v>
      </c>
      <c r="D264" s="79" t="s">
        <v>956</v>
      </c>
      <c r="E264" s="79" t="s">
        <v>1056</v>
      </c>
      <c r="F264" s="79" t="str">
        <f xml:space="preserve"> co_inputScenarioInfo[[#This Row],[inputName]] &amp; "file"</f>
        <v>tempfile</v>
      </c>
      <c r="G264" s="79" t="str">
        <f xml:space="preserve"> co_inputScenarioInfo[[#This Row],[inputName]] &amp; "Input"</f>
        <v>tempInput</v>
      </c>
      <c r="H264" s="62" t="s">
        <v>962</v>
      </c>
      <c r="I264" s="62">
        <v>0</v>
      </c>
      <c r="J264" s="62">
        <f xml:space="preserve"> IF( ISNA( MATCH( co_inputScenarioInfo[[#This Row],[inputType]], co_modelTypes[modelUnitType], 0 ) ), "", INDEX( co_modelTypes[modelMaxExtrap], MATCH( co_inputScenarioInfo[[#This Row],[inputType]], co_modelTypes[modelUnitType], 0 ) ) )</f>
        <v>30</v>
      </c>
      <c r="K264" s="62" t="s">
        <v>1064</v>
      </c>
      <c r="L264" s="62">
        <v>0</v>
      </c>
    </row>
    <row r="265" spans="1:21" x14ac:dyDescent="0.3">
      <c r="B265" s="7">
        <f xml:space="preserve"> ROW( co_inputScenarioInfo[[#This Row],[row_id]] ) - ROW( co_inputScenarioInfo[[#Headers],[row_id]] )</f>
        <v>2</v>
      </c>
      <c r="C265" s="14" t="s">
        <v>818</v>
      </c>
      <c r="D265" s="79" t="s">
        <v>961</v>
      </c>
      <c r="E265" s="79" t="s">
        <v>1057</v>
      </c>
      <c r="F265" s="79" t="str">
        <f xml:space="preserve"> co_inputScenarioInfo[[#This Row],[inputName]] &amp; "file"</f>
        <v>slrfile</v>
      </c>
      <c r="G265" s="79" t="str">
        <f xml:space="preserve"> co_inputScenarioInfo[[#This Row],[inputName]] &amp; "Input"</f>
        <v>slrInput</v>
      </c>
      <c r="H265" s="62" t="s">
        <v>963</v>
      </c>
      <c r="I265" s="62">
        <v>0</v>
      </c>
      <c r="J265" s="62">
        <f xml:space="preserve"> IF( ISNA( MATCH( co_inputScenarioInfo[[#This Row],[inputType]], co_modelTypes[modelUnitType], 0 ) ), "", INDEX( co_modelTypes[modelMaxExtrap], MATCH( co_inputScenarioInfo[[#This Row],[inputType]], co_modelTypes[modelUnitType], 0 ) ) )</f>
        <v>1000</v>
      </c>
      <c r="K265" s="62" t="s">
        <v>1065</v>
      </c>
      <c r="L265" s="62">
        <v>0</v>
      </c>
    </row>
    <row r="266" spans="1:21" x14ac:dyDescent="0.3">
      <c r="B266" s="7">
        <f xml:space="preserve"> ROW( co_inputScenarioInfo[[#This Row],[row_id]] ) - ROW( co_inputScenarioInfo[[#Headers],[row_id]] )</f>
        <v>3</v>
      </c>
      <c r="C266" s="14" t="s">
        <v>1047</v>
      </c>
      <c r="D266" s="79" t="s">
        <v>1050</v>
      </c>
      <c r="E266" s="79" t="s">
        <v>1058</v>
      </c>
      <c r="F266" s="79" t="str">
        <f xml:space="preserve"> co_inputScenarioInfo[[#This Row],[inputName]] &amp; "file"</f>
        <v>gdpfile</v>
      </c>
      <c r="G266" s="79" t="str">
        <f xml:space="preserve"> co_inputScenarioInfo[[#This Row],[inputName]] &amp; "Input"</f>
        <v>gdpInput</v>
      </c>
      <c r="H266" s="62" t="s">
        <v>1053</v>
      </c>
      <c r="I266" s="62">
        <v>0</v>
      </c>
      <c r="J266" s="62" t="str">
        <f xml:space="preserve"> IF( ISNA( MATCH( co_inputScenarioInfo[[#This Row],[inputType]], co_modelTypes[modelUnitType], 0 ) ), "", INDEX( co_modelTypes[modelMaxExtrap], MATCH( co_inputScenarioInfo[[#This Row],[inputType]], co_modelTypes[modelUnitType], 0 ) ) )</f>
        <v/>
      </c>
      <c r="K266" s="62" t="s">
        <v>904</v>
      </c>
      <c r="L266" s="62">
        <v>0</v>
      </c>
    </row>
    <row r="267" spans="1:21" x14ac:dyDescent="0.3">
      <c r="B267" s="7">
        <f xml:space="preserve"> ROW( co_inputScenarioInfo[[#This Row],[row_id]] ) - ROW( co_inputScenarioInfo[[#Headers],[row_id]] )</f>
        <v>4</v>
      </c>
      <c r="C267" s="14" t="s">
        <v>1048</v>
      </c>
      <c r="D267" s="79" t="s">
        <v>1051</v>
      </c>
      <c r="E267" s="79" t="s">
        <v>1059</v>
      </c>
      <c r="F267" s="79" t="str">
        <f xml:space="preserve"> co_inputScenarioInfo[[#This Row],[inputName]] &amp; "file"</f>
        <v>popfile</v>
      </c>
      <c r="G267" s="79" t="str">
        <f xml:space="preserve"> co_inputScenarioInfo[[#This Row],[inputName]] &amp; "Input"</f>
        <v>popInput</v>
      </c>
      <c r="H267" s="62" t="s">
        <v>1054</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4.5" x14ac:dyDescent="0.35">
      <c r="A270" s="47"/>
      <c r="B270" s="48" t="s">
        <v>1320</v>
      </c>
      <c r="C270" s="48"/>
      <c r="D270" s="48"/>
      <c r="E270" s="48"/>
      <c r="F270" s="48"/>
      <c r="G270" s="48"/>
      <c r="H270" s="48"/>
      <c r="I270" s="48"/>
      <c r="J270" s="48"/>
      <c r="K270" s="48"/>
      <c r="L270" s="48"/>
      <c r="M270" s="48"/>
      <c r="N270" s="48"/>
      <c r="O270" s="48"/>
      <c r="P270" s="48"/>
      <c r="Q270" s="48"/>
      <c r="R270" s="48"/>
      <c r="S270" s="48"/>
      <c r="T270" s="48"/>
      <c r="U270" s="48"/>
    </row>
    <row r="272" spans="1:21" x14ac:dyDescent="0.3">
      <c r="B272" s="4" t="s">
        <v>780</v>
      </c>
      <c r="C272" s="4" t="s">
        <v>1321</v>
      </c>
      <c r="D272" s="4" t="s">
        <v>1322</v>
      </c>
      <c r="E272" s="4" t="s">
        <v>218</v>
      </c>
      <c r="F272" s="21" t="s">
        <v>1323</v>
      </c>
    </row>
    <row r="273" spans="2:6" x14ac:dyDescent="0.3">
      <c r="B273" s="4">
        <f xml:space="preserve"> ROW( co_states[[#This Row],[row_id]] ) - ROW( co_states[[#Headers],[row_id]] )</f>
        <v>1</v>
      </c>
      <c r="C273" s="139" t="s">
        <v>1324</v>
      </c>
      <c r="D273" s="139" t="s">
        <v>1325</v>
      </c>
      <c r="E273" s="139" t="s">
        <v>10</v>
      </c>
      <c r="F273" s="140">
        <v>1</v>
      </c>
    </row>
    <row r="274" spans="2:6" x14ac:dyDescent="0.3">
      <c r="B274" s="4">
        <f xml:space="preserve"> ROW( co_states[[#This Row],[row_id]] ) - ROW( co_states[[#Headers],[row_id]] )</f>
        <v>2</v>
      </c>
      <c r="C274" s="139" t="s">
        <v>1326</v>
      </c>
      <c r="D274" s="139" t="s">
        <v>1327</v>
      </c>
      <c r="E274" s="139" t="s">
        <v>12</v>
      </c>
      <c r="F274" s="140">
        <v>4</v>
      </c>
    </row>
    <row r="275" spans="2:6" x14ac:dyDescent="0.3">
      <c r="B275" s="4">
        <f xml:space="preserve"> ROW( co_states[[#This Row],[row_id]] ) - ROW( co_states[[#Headers],[row_id]] )</f>
        <v>3</v>
      </c>
      <c r="C275" s="139" t="s">
        <v>1328</v>
      </c>
      <c r="D275" s="139" t="s">
        <v>1329</v>
      </c>
      <c r="E275" s="139" t="s">
        <v>10</v>
      </c>
      <c r="F275" s="140">
        <v>5</v>
      </c>
    </row>
    <row r="276" spans="2:6" x14ac:dyDescent="0.3">
      <c r="B276" s="4">
        <f xml:space="preserve"> ROW( co_states[[#This Row],[row_id]] ) - ROW( co_states[[#Headers],[row_id]] )</f>
        <v>4</v>
      </c>
      <c r="C276" s="139" t="s">
        <v>1330</v>
      </c>
      <c r="D276" s="139" t="s">
        <v>1331</v>
      </c>
      <c r="E276" s="139" t="s">
        <v>12</v>
      </c>
      <c r="F276" s="140">
        <v>6</v>
      </c>
    </row>
    <row r="277" spans="2:6" x14ac:dyDescent="0.3">
      <c r="B277" s="4">
        <f xml:space="preserve"> ROW( co_states[[#This Row],[row_id]] ) - ROW( co_states[[#Headers],[row_id]] )</f>
        <v>5</v>
      </c>
      <c r="C277" s="139" t="s">
        <v>1332</v>
      </c>
      <c r="D277" s="139" t="s">
        <v>1333</v>
      </c>
      <c r="E277" s="139" t="s">
        <v>12</v>
      </c>
      <c r="F277" s="140">
        <v>8</v>
      </c>
    </row>
    <row r="278" spans="2:6" x14ac:dyDescent="0.3">
      <c r="B278" s="4">
        <f xml:space="preserve"> ROW( co_states[[#This Row],[row_id]] ) - ROW( co_states[[#Headers],[row_id]] )</f>
        <v>6</v>
      </c>
      <c r="C278" s="139" t="s">
        <v>1334</v>
      </c>
      <c r="D278" s="139" t="s">
        <v>1335</v>
      </c>
      <c r="E278" s="139" t="s">
        <v>7</v>
      </c>
      <c r="F278" s="140">
        <v>9</v>
      </c>
    </row>
    <row r="279" spans="2:6" x14ac:dyDescent="0.3">
      <c r="B279" s="4">
        <f xml:space="preserve"> ROW( co_states[[#This Row],[row_id]] ) - ROW( co_states[[#Headers],[row_id]] )</f>
        <v>7</v>
      </c>
      <c r="C279" s="139" t="s">
        <v>1336</v>
      </c>
      <c r="D279" s="139" t="s">
        <v>1337</v>
      </c>
      <c r="E279" s="139" t="s">
        <v>7</v>
      </c>
      <c r="F279" s="140">
        <v>10</v>
      </c>
    </row>
    <row r="280" spans="2:6" x14ac:dyDescent="0.3">
      <c r="B280" s="4">
        <f xml:space="preserve"> ROW( co_states[[#This Row],[row_id]] ) - ROW( co_states[[#Headers],[row_id]] )</f>
        <v>8</v>
      </c>
      <c r="C280" s="139" t="s">
        <v>1338</v>
      </c>
      <c r="D280" s="139" t="s">
        <v>1339</v>
      </c>
      <c r="E280" s="139" t="s">
        <v>7</v>
      </c>
      <c r="F280" s="140">
        <v>11</v>
      </c>
    </row>
    <row r="281" spans="2:6" x14ac:dyDescent="0.3">
      <c r="B281" s="4">
        <f xml:space="preserve"> ROW( co_states[[#This Row],[row_id]] ) - ROW( co_states[[#Headers],[row_id]] )</f>
        <v>9</v>
      </c>
      <c r="C281" s="139" t="s">
        <v>1340</v>
      </c>
      <c r="D281" s="139" t="s">
        <v>1341</v>
      </c>
      <c r="E281" s="139" t="s">
        <v>10</v>
      </c>
      <c r="F281" s="140">
        <v>12</v>
      </c>
    </row>
    <row r="282" spans="2:6" x14ac:dyDescent="0.3">
      <c r="B282" s="4">
        <f xml:space="preserve"> ROW( co_states[[#This Row],[row_id]] ) - ROW( co_states[[#Headers],[row_id]] )</f>
        <v>10</v>
      </c>
      <c r="C282" s="139" t="s">
        <v>1342</v>
      </c>
      <c r="D282" s="139" t="s">
        <v>1343</v>
      </c>
      <c r="E282" s="139" t="s">
        <v>10</v>
      </c>
      <c r="F282" s="140">
        <v>13</v>
      </c>
    </row>
    <row r="283" spans="2:6" x14ac:dyDescent="0.3">
      <c r="B283" s="4">
        <f xml:space="preserve"> ROW( co_states[[#This Row],[row_id]] ) - ROW( co_states[[#Headers],[row_id]] )</f>
        <v>11</v>
      </c>
      <c r="C283" s="139" t="s">
        <v>1344</v>
      </c>
      <c r="D283" s="139" t="s">
        <v>210</v>
      </c>
      <c r="E283" s="139" t="s">
        <v>9</v>
      </c>
      <c r="F283" s="140">
        <v>16</v>
      </c>
    </row>
    <row r="284" spans="2:6" x14ac:dyDescent="0.3">
      <c r="B284" s="4">
        <f xml:space="preserve"> ROW( co_states[[#This Row],[row_id]] ) - ROW( co_states[[#Headers],[row_id]] )</f>
        <v>12</v>
      </c>
      <c r="C284" s="139" t="s">
        <v>1345</v>
      </c>
      <c r="D284" s="139" t="s">
        <v>1346</v>
      </c>
      <c r="E284" s="139" t="s">
        <v>6</v>
      </c>
      <c r="F284" s="140">
        <v>17</v>
      </c>
    </row>
    <row r="285" spans="2:6" x14ac:dyDescent="0.3">
      <c r="B285" s="4">
        <f xml:space="preserve"> ROW( co_states[[#This Row],[row_id]] ) - ROW( co_states[[#Headers],[row_id]] )</f>
        <v>13</v>
      </c>
      <c r="C285" s="139" t="s">
        <v>1347</v>
      </c>
      <c r="D285" s="139" t="s">
        <v>1348</v>
      </c>
      <c r="E285" s="139" t="s">
        <v>6</v>
      </c>
      <c r="F285" s="140">
        <v>18</v>
      </c>
    </row>
    <row r="286" spans="2:6" x14ac:dyDescent="0.3">
      <c r="B286" s="4">
        <f xml:space="preserve"> ROW( co_states[[#This Row],[row_id]] ) - ROW( co_states[[#Headers],[row_id]] )</f>
        <v>14</v>
      </c>
      <c r="C286" s="139" t="s">
        <v>1349</v>
      </c>
      <c r="D286" s="139" t="s">
        <v>1350</v>
      </c>
      <c r="E286" s="139" t="s">
        <v>6</v>
      </c>
      <c r="F286" s="140">
        <v>19</v>
      </c>
    </row>
    <row r="287" spans="2:6" x14ac:dyDescent="0.3">
      <c r="B287" s="4">
        <f xml:space="preserve"> ROW( co_states[[#This Row],[row_id]] ) - ROW( co_states[[#Headers],[row_id]] )</f>
        <v>15</v>
      </c>
      <c r="C287" s="139" t="s">
        <v>1351</v>
      </c>
      <c r="D287" s="139" t="s">
        <v>1352</v>
      </c>
      <c r="E287" s="139" t="s">
        <v>11</v>
      </c>
      <c r="F287" s="140">
        <v>20</v>
      </c>
    </row>
    <row r="288" spans="2:6" x14ac:dyDescent="0.3">
      <c r="B288" s="4">
        <f xml:space="preserve"> ROW( co_states[[#This Row],[row_id]] ) - ROW( co_states[[#Headers],[row_id]] )</f>
        <v>16</v>
      </c>
      <c r="C288" s="139" t="s">
        <v>1353</v>
      </c>
      <c r="D288" s="139" t="s">
        <v>1354</v>
      </c>
      <c r="E288" s="139" t="s">
        <v>10</v>
      </c>
      <c r="F288" s="140">
        <v>21</v>
      </c>
    </row>
    <row r="289" spans="2:6" x14ac:dyDescent="0.3">
      <c r="B289" s="4">
        <f xml:space="preserve"> ROW( co_states[[#This Row],[row_id]] ) - ROW( co_states[[#Headers],[row_id]] )</f>
        <v>17</v>
      </c>
      <c r="C289" s="139" t="s">
        <v>1355</v>
      </c>
      <c r="D289" s="139" t="s">
        <v>1356</v>
      </c>
      <c r="E289" s="139" t="s">
        <v>10</v>
      </c>
      <c r="F289" s="140">
        <v>22</v>
      </c>
    </row>
    <row r="290" spans="2:6" x14ac:dyDescent="0.3">
      <c r="B290" s="4">
        <f xml:space="preserve"> ROW( co_states[[#This Row],[row_id]] ) - ROW( co_states[[#Headers],[row_id]] )</f>
        <v>18</v>
      </c>
      <c r="C290" s="139" t="s">
        <v>1357</v>
      </c>
      <c r="D290" s="139" t="s">
        <v>1358</v>
      </c>
      <c r="E290" s="139" t="s">
        <v>7</v>
      </c>
      <c r="F290" s="140">
        <v>23</v>
      </c>
    </row>
    <row r="291" spans="2:6" x14ac:dyDescent="0.3">
      <c r="B291" s="4">
        <f xml:space="preserve"> ROW( co_states[[#This Row],[row_id]] ) - ROW( co_states[[#Headers],[row_id]] )</f>
        <v>19</v>
      </c>
      <c r="C291" s="139" t="s">
        <v>1359</v>
      </c>
      <c r="D291" s="139" t="s">
        <v>1360</v>
      </c>
      <c r="E291" s="139" t="s">
        <v>7</v>
      </c>
      <c r="F291" s="140">
        <v>24</v>
      </c>
    </row>
    <row r="292" spans="2:6" x14ac:dyDescent="0.3">
      <c r="B292" s="4">
        <f xml:space="preserve"> ROW( co_states[[#This Row],[row_id]] ) - ROW( co_states[[#Headers],[row_id]] )</f>
        <v>20</v>
      </c>
      <c r="C292" s="139" t="s">
        <v>1361</v>
      </c>
      <c r="D292" s="139" t="s">
        <v>1362</v>
      </c>
      <c r="E292" s="139" t="s">
        <v>7</v>
      </c>
      <c r="F292" s="140">
        <v>25</v>
      </c>
    </row>
    <row r="293" spans="2:6" x14ac:dyDescent="0.3">
      <c r="B293" s="4">
        <f xml:space="preserve"> ROW( co_states[[#This Row],[row_id]] ) - ROW( co_states[[#Headers],[row_id]] )</f>
        <v>21</v>
      </c>
      <c r="C293" s="139" t="s">
        <v>1363</v>
      </c>
      <c r="D293" s="139" t="s">
        <v>1364</v>
      </c>
      <c r="E293" s="139" t="s">
        <v>6</v>
      </c>
      <c r="F293" s="140">
        <v>26</v>
      </c>
    </row>
    <row r="294" spans="2:6" x14ac:dyDescent="0.3">
      <c r="B294" s="4">
        <f xml:space="preserve"> ROW( co_states[[#This Row],[row_id]] ) - ROW( co_states[[#Headers],[row_id]] )</f>
        <v>22</v>
      </c>
      <c r="C294" s="139" t="s">
        <v>1365</v>
      </c>
      <c r="D294" s="139" t="s">
        <v>1366</v>
      </c>
      <c r="E294" s="139" t="s">
        <v>6</v>
      </c>
      <c r="F294" s="140">
        <v>27</v>
      </c>
    </row>
    <row r="295" spans="2:6" x14ac:dyDescent="0.3">
      <c r="B295" s="4">
        <f xml:space="preserve"> ROW( co_states[[#This Row],[row_id]] ) - ROW( co_states[[#Headers],[row_id]] )</f>
        <v>23</v>
      </c>
      <c r="C295" s="139" t="s">
        <v>1367</v>
      </c>
      <c r="D295" s="139" t="s">
        <v>1368</v>
      </c>
      <c r="E295" s="139" t="s">
        <v>10</v>
      </c>
      <c r="F295" s="140">
        <v>28</v>
      </c>
    </row>
    <row r="296" spans="2:6" x14ac:dyDescent="0.3">
      <c r="B296" s="4">
        <f xml:space="preserve"> ROW( co_states[[#This Row],[row_id]] ) - ROW( co_states[[#Headers],[row_id]] )</f>
        <v>24</v>
      </c>
      <c r="C296" s="139" t="s">
        <v>1369</v>
      </c>
      <c r="D296" s="139" t="s">
        <v>1370</v>
      </c>
      <c r="E296" s="139" t="s">
        <v>6</v>
      </c>
      <c r="F296" s="140">
        <v>29</v>
      </c>
    </row>
    <row r="297" spans="2:6" x14ac:dyDescent="0.3">
      <c r="B297" s="4">
        <f xml:space="preserve"> ROW( co_states[[#This Row],[row_id]] ) - ROW( co_states[[#Headers],[row_id]] )</f>
        <v>25</v>
      </c>
      <c r="C297" s="139" t="s">
        <v>1371</v>
      </c>
      <c r="D297" s="139" t="s">
        <v>1372</v>
      </c>
      <c r="E297" s="139" t="s">
        <v>8</v>
      </c>
      <c r="F297" s="140">
        <v>30</v>
      </c>
    </row>
    <row r="298" spans="2:6" x14ac:dyDescent="0.3">
      <c r="B298" s="4">
        <f xml:space="preserve"> ROW( co_states[[#This Row],[row_id]] ) - ROW( co_states[[#Headers],[row_id]] )</f>
        <v>26</v>
      </c>
      <c r="C298" s="139" t="s">
        <v>1373</v>
      </c>
      <c r="D298" s="139" t="s">
        <v>1374</v>
      </c>
      <c r="E298" s="139" t="s">
        <v>8</v>
      </c>
      <c r="F298" s="140">
        <v>31</v>
      </c>
    </row>
    <row r="299" spans="2:6" x14ac:dyDescent="0.3">
      <c r="B299" s="4">
        <f xml:space="preserve"> ROW( co_states[[#This Row],[row_id]] ) - ROW( co_states[[#Headers],[row_id]] )</f>
        <v>27</v>
      </c>
      <c r="C299" s="139" t="s">
        <v>1375</v>
      </c>
      <c r="D299" s="139" t="s">
        <v>1376</v>
      </c>
      <c r="E299" s="139" t="s">
        <v>12</v>
      </c>
      <c r="F299" s="140">
        <v>32</v>
      </c>
    </row>
    <row r="300" spans="2:6" x14ac:dyDescent="0.3">
      <c r="B300" s="4">
        <f xml:space="preserve"> ROW( co_states[[#This Row],[row_id]] ) - ROW( co_states[[#Headers],[row_id]] )</f>
        <v>28</v>
      </c>
      <c r="C300" s="139" t="s">
        <v>1377</v>
      </c>
      <c r="D300" s="139" t="s">
        <v>1378</v>
      </c>
      <c r="E300" s="139" t="s">
        <v>7</v>
      </c>
      <c r="F300" s="140">
        <v>33</v>
      </c>
    </row>
    <row r="301" spans="2:6" x14ac:dyDescent="0.3">
      <c r="B301" s="4">
        <f xml:space="preserve"> ROW( co_states[[#This Row],[row_id]] ) - ROW( co_states[[#Headers],[row_id]] )</f>
        <v>29</v>
      </c>
      <c r="C301" s="139" t="s">
        <v>1379</v>
      </c>
      <c r="D301" s="139" t="s">
        <v>1380</v>
      </c>
      <c r="E301" s="139" t="s">
        <v>7</v>
      </c>
      <c r="F301" s="140">
        <v>34</v>
      </c>
    </row>
    <row r="302" spans="2:6" x14ac:dyDescent="0.3">
      <c r="B302" s="4">
        <f xml:space="preserve"> ROW( co_states[[#This Row],[row_id]] ) - ROW( co_states[[#Headers],[row_id]] )</f>
        <v>30</v>
      </c>
      <c r="C302" s="139" t="s">
        <v>1381</v>
      </c>
      <c r="D302" s="139" t="s">
        <v>1382</v>
      </c>
      <c r="E302" s="139" t="s">
        <v>12</v>
      </c>
      <c r="F302" s="140">
        <v>35</v>
      </c>
    </row>
    <row r="303" spans="2:6" x14ac:dyDescent="0.3">
      <c r="B303" s="4">
        <f xml:space="preserve"> ROW( co_states[[#This Row],[row_id]] ) - ROW( co_states[[#Headers],[row_id]] )</f>
        <v>31</v>
      </c>
      <c r="C303" s="139" t="s">
        <v>1383</v>
      </c>
      <c r="D303" s="139" t="s">
        <v>1384</v>
      </c>
      <c r="E303" s="139" t="s">
        <v>7</v>
      </c>
      <c r="F303" s="140">
        <v>36</v>
      </c>
    </row>
    <row r="304" spans="2:6" x14ac:dyDescent="0.3">
      <c r="B304" s="4">
        <f xml:space="preserve"> ROW( co_states[[#This Row],[row_id]] ) - ROW( co_states[[#Headers],[row_id]] )</f>
        <v>32</v>
      </c>
      <c r="C304" s="139" t="s">
        <v>1385</v>
      </c>
      <c r="D304" s="139" t="s">
        <v>1386</v>
      </c>
      <c r="E304" s="139" t="s">
        <v>10</v>
      </c>
      <c r="F304" s="140">
        <v>37</v>
      </c>
    </row>
    <row r="305" spans="2:6" x14ac:dyDescent="0.3">
      <c r="B305" s="4">
        <f xml:space="preserve"> ROW( co_states[[#This Row],[row_id]] ) - ROW( co_states[[#Headers],[row_id]] )</f>
        <v>33</v>
      </c>
      <c r="C305" s="139" t="s">
        <v>1387</v>
      </c>
      <c r="D305" s="139" t="s">
        <v>1388</v>
      </c>
      <c r="E305" s="139" t="s">
        <v>8</v>
      </c>
      <c r="F305" s="140">
        <v>38</v>
      </c>
    </row>
    <row r="306" spans="2:6" x14ac:dyDescent="0.3">
      <c r="B306" s="4">
        <f xml:space="preserve"> ROW( co_states[[#This Row],[row_id]] ) - ROW( co_states[[#Headers],[row_id]] )</f>
        <v>34</v>
      </c>
      <c r="C306" s="139" t="s">
        <v>1389</v>
      </c>
      <c r="D306" s="139" t="s">
        <v>1390</v>
      </c>
      <c r="E306" s="139" t="s">
        <v>6</v>
      </c>
      <c r="F306" s="140">
        <v>39</v>
      </c>
    </row>
    <row r="307" spans="2:6" x14ac:dyDescent="0.3">
      <c r="B307" s="4">
        <f xml:space="preserve"> ROW( co_states[[#This Row],[row_id]] ) - ROW( co_states[[#Headers],[row_id]] )</f>
        <v>35</v>
      </c>
      <c r="C307" s="139" t="s">
        <v>1391</v>
      </c>
      <c r="D307" s="139" t="s">
        <v>1392</v>
      </c>
      <c r="E307" s="139" t="s">
        <v>11</v>
      </c>
      <c r="F307" s="140">
        <v>40</v>
      </c>
    </row>
    <row r="308" spans="2:6" x14ac:dyDescent="0.3">
      <c r="B308" s="4">
        <f xml:space="preserve"> ROW( co_states[[#This Row],[row_id]] ) - ROW( co_states[[#Headers],[row_id]] )</f>
        <v>36</v>
      </c>
      <c r="C308" s="139" t="s">
        <v>1393</v>
      </c>
      <c r="D308" s="139" t="s">
        <v>1394</v>
      </c>
      <c r="E308" s="139" t="s">
        <v>9</v>
      </c>
      <c r="F308" s="140">
        <v>41</v>
      </c>
    </row>
    <row r="309" spans="2:6" x14ac:dyDescent="0.3">
      <c r="B309" s="4">
        <f xml:space="preserve"> ROW( co_states[[#This Row],[row_id]] ) - ROW( co_states[[#Headers],[row_id]] )</f>
        <v>37</v>
      </c>
      <c r="C309" s="139" t="s">
        <v>1395</v>
      </c>
      <c r="D309" s="139" t="s">
        <v>1396</v>
      </c>
      <c r="E309" s="139" t="s">
        <v>7</v>
      </c>
      <c r="F309" s="140">
        <v>42</v>
      </c>
    </row>
    <row r="310" spans="2:6" x14ac:dyDescent="0.3">
      <c r="B310" s="4">
        <f xml:space="preserve"> ROW( co_states[[#This Row],[row_id]] ) - ROW( co_states[[#Headers],[row_id]] )</f>
        <v>38</v>
      </c>
      <c r="C310" s="139" t="s">
        <v>1397</v>
      </c>
      <c r="D310" s="139" t="s">
        <v>1398</v>
      </c>
      <c r="E310" s="139" t="s">
        <v>7</v>
      </c>
      <c r="F310" s="140">
        <v>44</v>
      </c>
    </row>
    <row r="311" spans="2:6" x14ac:dyDescent="0.3">
      <c r="B311" s="4">
        <f xml:space="preserve"> ROW( co_states[[#This Row],[row_id]] ) - ROW( co_states[[#Headers],[row_id]] )</f>
        <v>39</v>
      </c>
      <c r="C311" s="139" t="s">
        <v>1399</v>
      </c>
      <c r="D311" s="139" t="s">
        <v>1400</v>
      </c>
      <c r="E311" s="139" t="s">
        <v>10</v>
      </c>
      <c r="F311" s="140">
        <v>45</v>
      </c>
    </row>
    <row r="312" spans="2:6" x14ac:dyDescent="0.3">
      <c r="B312" s="4">
        <f xml:space="preserve"> ROW( co_states[[#This Row],[row_id]] ) - ROW( co_states[[#Headers],[row_id]] )</f>
        <v>40</v>
      </c>
      <c r="C312" s="139" t="s">
        <v>1401</v>
      </c>
      <c r="D312" s="139" t="s">
        <v>1402</v>
      </c>
      <c r="E312" s="139" t="s">
        <v>8</v>
      </c>
      <c r="F312" s="140">
        <v>46</v>
      </c>
    </row>
    <row r="313" spans="2:6" x14ac:dyDescent="0.3">
      <c r="B313" s="4">
        <f xml:space="preserve"> ROW( co_states[[#This Row],[row_id]] ) - ROW( co_states[[#Headers],[row_id]] )</f>
        <v>41</v>
      </c>
      <c r="C313" s="139" t="s">
        <v>1403</v>
      </c>
      <c r="D313" s="139" t="s">
        <v>1404</v>
      </c>
      <c r="E313" s="139" t="s">
        <v>10</v>
      </c>
      <c r="F313" s="140">
        <v>47</v>
      </c>
    </row>
    <row r="314" spans="2:6" x14ac:dyDescent="0.3">
      <c r="B314" s="4">
        <f xml:space="preserve"> ROW( co_states[[#This Row],[row_id]] ) - ROW( co_states[[#Headers],[row_id]] )</f>
        <v>42</v>
      </c>
      <c r="C314" s="139" t="s">
        <v>1405</v>
      </c>
      <c r="D314" s="139" t="s">
        <v>1406</v>
      </c>
      <c r="E314" s="139" t="s">
        <v>11</v>
      </c>
      <c r="F314" s="140">
        <v>48</v>
      </c>
    </row>
    <row r="315" spans="2:6" x14ac:dyDescent="0.3">
      <c r="B315" s="4">
        <f xml:space="preserve"> ROW( co_states[[#This Row],[row_id]] ) - ROW( co_states[[#Headers],[row_id]] )</f>
        <v>43</v>
      </c>
      <c r="C315" s="139" t="s">
        <v>1407</v>
      </c>
      <c r="D315" s="139" t="s">
        <v>1408</v>
      </c>
      <c r="E315" s="139" t="s">
        <v>12</v>
      </c>
      <c r="F315" s="140">
        <v>49</v>
      </c>
    </row>
    <row r="316" spans="2:6" x14ac:dyDescent="0.3">
      <c r="B316" s="4">
        <f xml:space="preserve"> ROW( co_states[[#This Row],[row_id]] ) - ROW( co_states[[#Headers],[row_id]] )</f>
        <v>44</v>
      </c>
      <c r="C316" s="139" t="s">
        <v>1409</v>
      </c>
      <c r="D316" s="139" t="s">
        <v>1410</v>
      </c>
      <c r="E316" s="139" t="s">
        <v>7</v>
      </c>
      <c r="F316" s="140">
        <v>50</v>
      </c>
    </row>
    <row r="317" spans="2:6" x14ac:dyDescent="0.3">
      <c r="B317" s="4">
        <f xml:space="preserve"> ROW( co_states[[#This Row],[row_id]] ) - ROW( co_states[[#Headers],[row_id]] )</f>
        <v>45</v>
      </c>
      <c r="C317" s="139" t="s">
        <v>1411</v>
      </c>
      <c r="D317" s="139" t="s">
        <v>1412</v>
      </c>
      <c r="E317" s="139" t="s">
        <v>10</v>
      </c>
      <c r="F317" s="140">
        <v>51</v>
      </c>
    </row>
    <row r="318" spans="2:6" x14ac:dyDescent="0.3">
      <c r="B318" s="4">
        <f xml:space="preserve"> ROW( co_states[[#This Row],[row_id]] ) - ROW( co_states[[#Headers],[row_id]] )</f>
        <v>46</v>
      </c>
      <c r="C318" s="139" t="s">
        <v>1413</v>
      </c>
      <c r="D318" s="139" t="s">
        <v>1414</v>
      </c>
      <c r="E318" s="139" t="s">
        <v>9</v>
      </c>
      <c r="F318" s="140">
        <v>53</v>
      </c>
    </row>
    <row r="319" spans="2:6" x14ac:dyDescent="0.3">
      <c r="B319" s="4">
        <f xml:space="preserve"> ROW( co_states[[#This Row],[row_id]] ) - ROW( co_states[[#Headers],[row_id]] )</f>
        <v>47</v>
      </c>
      <c r="C319" s="139" t="s">
        <v>1415</v>
      </c>
      <c r="D319" s="139" t="s">
        <v>1416</v>
      </c>
      <c r="E319" s="139" t="s">
        <v>7</v>
      </c>
      <c r="F319" s="140">
        <v>54</v>
      </c>
    </row>
    <row r="320" spans="2:6" x14ac:dyDescent="0.3">
      <c r="B320" s="4">
        <f xml:space="preserve"> ROW( co_states[[#This Row],[row_id]] ) - ROW( co_states[[#Headers],[row_id]] )</f>
        <v>48</v>
      </c>
      <c r="C320" s="139" t="s">
        <v>1417</v>
      </c>
      <c r="D320" s="139" t="s">
        <v>1418</v>
      </c>
      <c r="E320" s="139" t="s">
        <v>6</v>
      </c>
      <c r="F320" s="140">
        <v>55</v>
      </c>
    </row>
    <row r="321" spans="2:6" x14ac:dyDescent="0.3">
      <c r="B321" s="4">
        <f xml:space="preserve"> ROW( co_states[[#This Row],[row_id]] ) - ROW( co_states[[#Headers],[row_id]] )</f>
        <v>49</v>
      </c>
      <c r="C321" s="139" t="s">
        <v>1419</v>
      </c>
      <c r="D321" s="139" t="s">
        <v>1420</v>
      </c>
      <c r="E321" s="139" t="s">
        <v>8</v>
      </c>
      <c r="F321" s="140">
        <v>56</v>
      </c>
    </row>
  </sheetData>
  <phoneticPr fontId="10" type="noConversion"/>
  <conditionalFormatting sqref="B20:F33">
    <cfRule type="expression" dxfId="3" priority="2">
      <formula xml:space="preserve"> IF( $E20 = 1, 1, 0)</formula>
    </cfRule>
  </conditionalFormatting>
  <conditionalFormatting sqref="C34:F34">
    <cfRule type="expression" dxfId="2" priority="1">
      <formula xml:space="preserve"> IF( $E34 = 1, 1, 0)</formula>
    </cfRule>
  </conditionalFormatting>
  <conditionalFormatting sqref="G20:G44 B34 B35:F44">
    <cfRule type="expression" dxfId="1" priority="7">
      <formula xml:space="preserve"> IF( $E20 = 1, 1, 0)</formula>
    </cfRule>
  </conditionalFormatting>
  <conditionalFormatting sqref="J131:K131">
    <cfRule type="expression" dxfId="0" priority="5">
      <formula xml:space="preserve"> IF( $F131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90"/>
  <sheetViews>
    <sheetView zoomScale="85" zoomScaleNormal="85" workbookViewId="0">
      <pane ySplit="1" topLeftCell="A121" activePane="bottomLeft" state="frozen"/>
      <selection pane="bottomLeft" activeCell="M136" sqref="M136"/>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6</v>
      </c>
      <c r="F1126" s="25">
        <v>2300</v>
      </c>
      <c r="G1126" s="26">
        <v>1.0203877135305399</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2010</v>
      </c>
      <c r="G1127" s="26">
        <v>1.0085295652211195</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2011</v>
      </c>
      <c r="G1128" s="26">
        <v>1.0068110448954199</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2013</v>
      </c>
      <c r="G1129" s="26">
        <v>1.00337400424402</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2017</v>
      </c>
      <c r="G1130" s="26">
        <v>0.99661113266946699</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2025</v>
      </c>
      <c r="G1131" s="26">
        <v>0.98776066481343705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2029</v>
      </c>
      <c r="G1132" s="26">
        <v>0.98433331368784605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2032</v>
      </c>
      <c r="G1133" s="26">
        <v>0.98379196835581595</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2033</v>
      </c>
      <c r="G1134" s="26">
        <v>0.98391701861770198</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2037</v>
      </c>
      <c r="G1135" s="26">
        <v>0.98445220235822295</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2044</v>
      </c>
      <c r="G1136" s="26">
        <v>0.98135413644813196</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2048</v>
      </c>
      <c r="G1137" s="26">
        <v>0.97831093994011997</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2049</v>
      </c>
      <c r="G1138" s="26">
        <v>0.97752027518008699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2050</v>
      </c>
      <c r="G1139" s="26">
        <v>0.97669731199290799</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2052</v>
      </c>
      <c r="G1140" s="26">
        <v>0.975345945000891</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2055</v>
      </c>
      <c r="G1141" s="26">
        <v>0.97345017624087404</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2059</v>
      </c>
      <c r="G1142" s="26">
        <v>0.97137097748661905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2061</v>
      </c>
      <c r="G1143" s="26">
        <v>0.97047225784510605</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2062</v>
      </c>
      <c r="G1144" s="26">
        <v>0.97060098441862297</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2064</v>
      </c>
      <c r="G1145" s="26">
        <v>0.97020476528834798</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2067</v>
      </c>
      <c r="G1146" s="26">
        <v>0.97033074958096599</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2071</v>
      </c>
      <c r="G1147" s="26">
        <v>0.96960487115488103</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2076</v>
      </c>
      <c r="G1148" s="26">
        <v>0.96801639787276905</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2077</v>
      </c>
      <c r="G1149" s="26">
        <v>0.96772346599502201</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2081</v>
      </c>
      <c r="G1150" s="26">
        <v>0.96685945340602097</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2082</v>
      </c>
      <c r="G1151" s="26">
        <v>0.96694952645844401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2087</v>
      </c>
      <c r="G1152" s="26">
        <v>0.96670340107064801</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7</v>
      </c>
      <c r="F1153" s="25">
        <v>2091</v>
      </c>
      <c r="G1153" s="26">
        <v>0.96880700254581997</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7</v>
      </c>
      <c r="F1154" s="25">
        <v>2300</v>
      </c>
      <c r="G1154" s="26">
        <v>0.96880700254581997</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2010</v>
      </c>
      <c r="G1155" s="26">
        <v>1.0000078367968801</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2011</v>
      </c>
      <c r="G1156" s="26">
        <v>1.0000085958285301</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2013</v>
      </c>
      <c r="G1157" s="26">
        <v>1.00001011389183</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2017</v>
      </c>
      <c r="G1158" s="26">
        <v>0.99964420282838795</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2025</v>
      </c>
      <c r="G1159" s="26">
        <v>1.00465582883895</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2029</v>
      </c>
      <c r="G1160" s="26">
        <v>1.0086880866444901</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2032</v>
      </c>
      <c r="G1161" s="26">
        <v>1.0135005253471701</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2033</v>
      </c>
      <c r="G1162" s="26">
        <v>1.01538550450773</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2037</v>
      </c>
      <c r="G1163" s="26">
        <v>1.0230243417617499</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2044</v>
      </c>
      <c r="G1164" s="26">
        <v>1.02724196452887</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2048</v>
      </c>
      <c r="G1165" s="26">
        <v>1.0257870179404001</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2049</v>
      </c>
      <c r="G1166" s="26">
        <v>1.0255352338748001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2050</v>
      </c>
      <c r="G1167" s="26">
        <v>1.02524308422616</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2052</v>
      </c>
      <c r="G1168" s="26">
        <v>1.0263472012734001</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2055</v>
      </c>
      <c r="G1169" s="26">
        <v>1.0280543267197599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2059</v>
      </c>
      <c r="G1170" s="26">
        <v>1.0302932538873699</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2061</v>
      </c>
      <c r="G1171" s="26">
        <v>1.0321688280293999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2062</v>
      </c>
      <c r="G1172" s="26">
        <v>1.03354778328911</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2064</v>
      </c>
      <c r="G1173" s="26">
        <v>1.0361699169257199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2067</v>
      </c>
      <c r="G1174" s="26">
        <v>1.04009193338484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2071</v>
      </c>
      <c r="G1175" s="26">
        <v>1.0443365823727899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2076</v>
      </c>
      <c r="G1176" s="26">
        <v>1.0454022777884</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2077</v>
      </c>
      <c r="G1177" s="26">
        <v>1.0458140054037699</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2081</v>
      </c>
      <c r="G1178" s="26">
        <v>1.0467632740441399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2082</v>
      </c>
      <c r="G1179" s="26">
        <v>1.04741698034796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8</v>
      </c>
      <c r="F1180" s="25">
        <v>2087</v>
      </c>
      <c r="G1180" s="26">
        <v>1.0495860178745999</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8</v>
      </c>
      <c r="F1181" s="25">
        <v>2091</v>
      </c>
      <c r="G1181" s="26">
        <v>1.05142065504116</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8</v>
      </c>
      <c r="F1182" s="25">
        <v>2300</v>
      </c>
      <c r="G1182" s="26">
        <v>1.05142065504116</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2010</v>
      </c>
      <c r="G1183" s="26">
        <v>0.99882913356436753</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2011</v>
      </c>
      <c r="G1184" s="26">
        <v>0.99906623206444301</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2013</v>
      </c>
      <c r="G1185" s="26">
        <v>0.99954042906459395</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2017</v>
      </c>
      <c r="G1186" s="26">
        <v>1.0003392640217601</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2025</v>
      </c>
      <c r="G1187" s="26">
        <v>1.00702969361898</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2029</v>
      </c>
      <c r="G1188" s="26">
        <v>1.01198125386406</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2032</v>
      </c>
      <c r="G1189" s="26">
        <v>1.01562722552066</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2033</v>
      </c>
      <c r="G1190" s="26">
        <v>1.0168034409089901</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2037</v>
      </c>
      <c r="G1191" s="26">
        <v>1.0216272728389</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2044</v>
      </c>
      <c r="G1192" s="26">
        <v>1.0250872851851101</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2048</v>
      </c>
      <c r="G1193" s="26">
        <v>1.0252136353057499</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2049</v>
      </c>
      <c r="G1194" s="26">
        <v>1.02529964815147</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2050</v>
      </c>
      <c r="G1195" s="26">
        <v>1.0253584507847</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2052</v>
      </c>
      <c r="G1196" s="26">
        <v>1.0264975667096801</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2055</v>
      </c>
      <c r="G1197" s="26">
        <v>1.0285381888237899</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2059</v>
      </c>
      <c r="G1198" s="26">
        <v>1.0313609376619299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2061</v>
      </c>
      <c r="G1199" s="26">
        <v>1.03299370929685</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2062</v>
      </c>
      <c r="G1200" s="26">
        <v>1.03373777107192</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2064</v>
      </c>
      <c r="G1201" s="26">
        <v>1.0354904823858599</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2067</v>
      </c>
      <c r="G1202" s="26">
        <v>1.03810741237284</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2071</v>
      </c>
      <c r="G1203" s="26">
        <v>1.0410335762338501</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2076</v>
      </c>
      <c r="G1204" s="26">
        <v>1.04210334760381</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2077</v>
      </c>
      <c r="G1205" s="26">
        <v>1.0424433761154499</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2081</v>
      </c>
      <c r="G1206" s="26">
        <v>1.0438877072129999</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9</v>
      </c>
      <c r="F1207" s="25">
        <v>2082</v>
      </c>
      <c r="G1207" s="26">
        <v>1.04420576736286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9</v>
      </c>
      <c r="F1208" s="25">
        <v>2087</v>
      </c>
      <c r="G1208" s="26">
        <v>1.0480141786611901</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9</v>
      </c>
      <c r="F1209" s="25">
        <v>2091</v>
      </c>
      <c r="G1209" s="26">
        <v>1.0510405119896</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9</v>
      </c>
      <c r="F1210" s="25">
        <v>2300</v>
      </c>
      <c r="G1210" s="26">
        <v>1.0510405119896</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2010</v>
      </c>
      <c r="G1211" s="26">
        <v>0.99568521610406646</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2011</v>
      </c>
      <c r="G1212" s="26">
        <v>0.99656007861970297</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2013</v>
      </c>
      <c r="G1213" s="26">
        <v>0.99830980365097599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2017</v>
      </c>
      <c r="G1214" s="26">
        <v>1.0015728076222301</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2025</v>
      </c>
      <c r="G1215" s="26">
        <v>1.0085809737161899</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2029</v>
      </c>
      <c r="G1216" s="26">
        <v>1.01218398583216</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2032</v>
      </c>
      <c r="G1217" s="26">
        <v>1.0155089547789899</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2033</v>
      </c>
      <c r="G1218" s="26">
        <v>1.01670740152664</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2037</v>
      </c>
      <c r="G1219" s="26">
        <v>1.0213831535865501</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2044</v>
      </c>
      <c r="G1220" s="26">
        <v>1.02749901943804</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2048</v>
      </c>
      <c r="G1221" s="26">
        <v>1.03030262112074</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2049</v>
      </c>
      <c r="G1222" s="26">
        <v>1.0309305511740201</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2050</v>
      </c>
      <c r="G1223" s="26">
        <v>1.03157050559578</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2052</v>
      </c>
      <c r="G1224" s="26">
        <v>1.0325778386592299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2055</v>
      </c>
      <c r="G1225" s="26">
        <v>1.0337794306372201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2059</v>
      </c>
      <c r="G1226" s="26">
        <v>1.03567670092655</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2061</v>
      </c>
      <c r="G1227" s="26">
        <v>1.03676479073854</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2062</v>
      </c>
      <c r="G1228" s="26">
        <v>1.0373628457836199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2064</v>
      </c>
      <c r="G1229" s="26">
        <v>1.0384565275648201</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2067</v>
      </c>
      <c r="G1230" s="26">
        <v>1.0403460498691699</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2071</v>
      </c>
      <c r="G1231" s="26">
        <v>1.04265113500066</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2076</v>
      </c>
      <c r="G1232" s="26">
        <v>1.04477079431469</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2077</v>
      </c>
      <c r="G1233" s="26">
        <v>1.04517032159898</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10</v>
      </c>
      <c r="F1234" s="25">
        <v>2081</v>
      </c>
      <c r="G1234" s="26">
        <v>1.04701360828684</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10</v>
      </c>
      <c r="F1235" s="25">
        <v>2082</v>
      </c>
      <c r="G1235" s="26">
        <v>1.0478782752232201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10</v>
      </c>
      <c r="F1236" s="25">
        <v>2087</v>
      </c>
      <c r="G1236" s="26">
        <v>1.05108637273163</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10</v>
      </c>
      <c r="F1237" s="25">
        <v>2091</v>
      </c>
      <c r="G1237" s="26">
        <v>1.0539960298960001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10</v>
      </c>
      <c r="F1238" s="25">
        <v>2300</v>
      </c>
      <c r="G1238" s="26">
        <v>1.0539960298960001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2010</v>
      </c>
      <c r="G1239" s="26">
        <v>0.99467658136172643</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2011</v>
      </c>
      <c r="G1240" s="26">
        <v>0.99576429610908701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2013</v>
      </c>
      <c r="G1241" s="26">
        <v>0.99793972560380795</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2017</v>
      </c>
      <c r="G1242" s="26">
        <v>1.0017593109285701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2025</v>
      </c>
      <c r="G1243" s="26">
        <v>1.0113203944098501</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2029</v>
      </c>
      <c r="G1244" s="26">
        <v>1.01638101267742</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2032</v>
      </c>
      <c r="G1245" s="26">
        <v>1.0199277662083901</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2033</v>
      </c>
      <c r="G1246" s="26">
        <v>1.02100930186938</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2037</v>
      </c>
      <c r="G1247" s="26">
        <v>1.0253427524296701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2044</v>
      </c>
      <c r="G1248" s="26">
        <v>1.0309518804564799</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2048</v>
      </c>
      <c r="G1249" s="26">
        <v>1.03343374460103</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2049</v>
      </c>
      <c r="G1250" s="26">
        <v>1.03406034210395</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2050</v>
      </c>
      <c r="G1251" s="26">
        <v>1.03447907059945</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2052</v>
      </c>
      <c r="G1252" s="26">
        <v>1.0360772910421701</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2055</v>
      </c>
      <c r="G1253" s="26">
        <v>1.03811897862057</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2059</v>
      </c>
      <c r="G1254" s="26">
        <v>1.04109988176516</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2061</v>
      </c>
      <c r="G1255" s="26">
        <v>1.04247108769373</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2062</v>
      </c>
      <c r="G1256" s="26">
        <v>1.04281297091589</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2064</v>
      </c>
      <c r="G1257" s="26">
        <v>1.0435186292485299</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2067</v>
      </c>
      <c r="G1258" s="26">
        <v>1.0448510263386801</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2071</v>
      </c>
      <c r="G1259" s="26">
        <v>1.0467764486554101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2076</v>
      </c>
      <c r="G1260" s="26">
        <v>1.0482886199775101</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11</v>
      </c>
      <c r="F1261" s="25">
        <v>2077</v>
      </c>
      <c r="G1261" s="26">
        <v>1.04854107921615</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11</v>
      </c>
      <c r="F1262" s="25">
        <v>2081</v>
      </c>
      <c r="G1262" s="26">
        <v>1.05007410869457</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11</v>
      </c>
      <c r="F1263" s="25">
        <v>2082</v>
      </c>
      <c r="G1263" s="26">
        <v>1.05105341440398</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11</v>
      </c>
      <c r="F1264" s="25">
        <v>2087</v>
      </c>
      <c r="G1264" s="26">
        <v>1.0551764251021001</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11</v>
      </c>
      <c r="F1265" s="25">
        <v>2091</v>
      </c>
      <c r="G1265" s="26">
        <v>1.05853553219845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11</v>
      </c>
      <c r="F1266" s="25">
        <v>2300</v>
      </c>
      <c r="G1266" s="26">
        <v>1.05853553219845</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2010</v>
      </c>
      <c r="G1267" s="26">
        <v>0.99508202265015666</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2011</v>
      </c>
      <c r="G1268" s="26">
        <v>0.99608571239503896</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2013</v>
      </c>
      <c r="G1269" s="26">
        <v>0.998093091884803</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2017</v>
      </c>
      <c r="G1270" s="26">
        <v>1.00158088489619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2025</v>
      </c>
      <c r="G1271" s="26">
        <v>1.01294094326785</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2029</v>
      </c>
      <c r="G1272" s="26">
        <v>1.0195259366946201</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2032</v>
      </c>
      <c r="G1273" s="26">
        <v>1.0245922778789001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2033</v>
      </c>
      <c r="G1274" s="26">
        <v>1.0263057313645401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2037</v>
      </c>
      <c r="G1275" s="26">
        <v>1.0328384722180299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2044</v>
      </c>
      <c r="G1276" s="26">
        <v>1.0390395996821999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2048</v>
      </c>
      <c r="G1277" s="26">
        <v>1.0409511555854101</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2049</v>
      </c>
      <c r="G1278" s="26">
        <v>1.04129346456116</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2050</v>
      </c>
      <c r="G1279" s="26">
        <v>1.0416147718245701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2052</v>
      </c>
      <c r="G1280" s="26">
        <v>1.0423598245597201</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2055</v>
      </c>
      <c r="G1281" s="26">
        <v>1.0432027213146799</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2059</v>
      </c>
      <c r="G1282" s="26">
        <v>1.0444052965658699</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2061</v>
      </c>
      <c r="G1283" s="26">
        <v>1.04492359158966</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2062</v>
      </c>
      <c r="G1284" s="26">
        <v>1.0452638143802899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2064</v>
      </c>
      <c r="G1285" s="26">
        <v>1.04542771494161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2067</v>
      </c>
      <c r="G1286" s="26">
        <v>1.04588444021676</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2071</v>
      </c>
      <c r="G1287" s="26">
        <v>1.0463075900388601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damageAdj</v>
      </c>
      <c r="C1288" s="44" t="str">
        <f xml:space="preserve"> INDEX( co_scalarInfo[scalarLabel], MATCH( scalarDataframe[[#This Row],[scalarName]], co_scalarInfo[scalarName], 0 ) )</f>
        <v>MH Demographic Proportion Adjustment Factor</v>
      </c>
      <c r="D1288" s="24" t="s">
        <v>1315</v>
      </c>
      <c r="E1288" s="17" t="s">
        <v>12</v>
      </c>
      <c r="F1288" s="25">
        <v>2076</v>
      </c>
      <c r="G1288" s="26">
        <v>1.04554446430666</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damageAdj</v>
      </c>
      <c r="C1289" s="44" t="str">
        <f xml:space="preserve"> INDEX( co_scalarInfo[scalarLabel], MATCH( scalarDataframe[[#This Row],[scalarName]], co_scalarInfo[scalarName], 0 ) )</f>
        <v>MH Demographic Proportion Adjustment Factor</v>
      </c>
      <c r="D1289" s="24" t="s">
        <v>1315</v>
      </c>
      <c r="E1289" s="17" t="s">
        <v>12</v>
      </c>
      <c r="F1289" s="25">
        <v>2077</v>
      </c>
      <c r="G1289" s="26">
        <v>1.0452837059790201</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damageAdj</v>
      </c>
      <c r="C1290" s="44" t="str">
        <f xml:space="preserve"> INDEX( co_scalarInfo[scalarLabel], MATCH( scalarDataframe[[#This Row],[scalarName]], co_scalarInfo[scalarName], 0 ) )</f>
        <v>MH Demographic Proportion Adjustment Factor</v>
      </c>
      <c r="D1290" s="24" t="s">
        <v>1315</v>
      </c>
      <c r="E1290" s="17" t="s">
        <v>12</v>
      </c>
      <c r="F1290" s="25">
        <v>2081</v>
      </c>
      <c r="G1290" s="26">
        <v>1.0454039226754299</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damageAdj</v>
      </c>
      <c r="C1291" s="44" t="str">
        <f xml:space="preserve"> INDEX( co_scalarInfo[scalarLabel], MATCH( scalarDataframe[[#This Row],[scalarName]], co_scalarInfo[scalarName], 0 ) )</f>
        <v>MH Demographic Proportion Adjustment Factor</v>
      </c>
      <c r="D1291" s="24" t="s">
        <v>1315</v>
      </c>
      <c r="E1291" s="17" t="s">
        <v>12</v>
      </c>
      <c r="F1291" s="25">
        <v>2082</v>
      </c>
      <c r="G1291" s="26">
        <v>1.04628887550521</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damageAdj</v>
      </c>
      <c r="C1292" s="44" t="str">
        <f xml:space="preserve"> INDEX( co_scalarInfo[scalarLabel], MATCH( scalarDataframe[[#This Row],[scalarName]], co_scalarInfo[scalarName], 0 ) )</f>
        <v>MH Demographic Proportion Adjustment Factor</v>
      </c>
      <c r="D1292" s="24" t="s">
        <v>1315</v>
      </c>
      <c r="E1292" s="17" t="s">
        <v>12</v>
      </c>
      <c r="F1292" s="25">
        <v>2087</v>
      </c>
      <c r="G1292" s="26">
        <v>1.05006497308035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damageAdj</v>
      </c>
      <c r="C1293" s="44" t="str">
        <f xml:space="preserve"> INDEX( co_scalarInfo[scalarLabel], MATCH( scalarDataframe[[#This Row],[scalarName]], co_scalarInfo[scalarName], 0 ) )</f>
        <v>MH Demographic Proportion Adjustment Factor</v>
      </c>
      <c r="D1293" s="24" t="s">
        <v>1315</v>
      </c>
      <c r="E1293" s="17" t="s">
        <v>12</v>
      </c>
      <c r="F1293" s="25">
        <v>2091</v>
      </c>
      <c r="G1293" s="26">
        <v>1.0539505563562901</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damageAdj</v>
      </c>
      <c r="C1294" s="44" t="str">
        <f xml:space="preserve"> INDEX( co_scalarInfo[scalarLabel], MATCH( scalarDataframe[[#This Row],[scalarName]], co_scalarInfo[scalarName], 0 ) )</f>
        <v>MH Demographic Proportion Adjustment Factor</v>
      </c>
      <c r="D1294" s="24" t="s">
        <v>1315</v>
      </c>
      <c r="E1294" s="17" t="s">
        <v>12</v>
      </c>
      <c r="F1294" s="25">
        <v>2300</v>
      </c>
      <c r="G1294" s="26">
        <v>1.0539505563562901</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2010</v>
      </c>
      <c r="G1295" s="26">
        <v>0.93418127299999998</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2011</v>
      </c>
      <c r="G1296" s="26">
        <v>0.93419951899999998</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2013</v>
      </c>
      <c r="G1297" s="26">
        <v>0.93423601099999998</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2017</v>
      </c>
      <c r="G1298" s="26">
        <v>0.93429851600000002</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2025</v>
      </c>
      <c r="G1299" s="26">
        <v>0.93555535999999995</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2029</v>
      </c>
      <c r="G1300" s="26">
        <v>0.93653127599999997</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2032</v>
      </c>
      <c r="G1301" s="26">
        <v>0.93667117899999996</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2033</v>
      </c>
      <c r="G1302" s="26">
        <v>0.93662178600000001</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2037</v>
      </c>
      <c r="G1303" s="26">
        <v>0.93641610600000003</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2044</v>
      </c>
      <c r="G1304" s="26">
        <v>0.93602754099999996</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2048</v>
      </c>
      <c r="G1305" s="26">
        <v>0.93578946500000004</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2049</v>
      </c>
      <c r="G1306" s="26">
        <v>0.93572917300000003</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2050</v>
      </c>
      <c r="G1307" s="26">
        <v>0.93566943499999999</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2052</v>
      </c>
      <c r="G1308" s="26">
        <v>0.93576332399999995</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2055</v>
      </c>
      <c r="G1309" s="26">
        <v>0.93590362100000002</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2059</v>
      </c>
      <c r="G1310" s="26">
        <v>0.936100555</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2061</v>
      </c>
      <c r="G1311" s="26">
        <v>0.93613225799999999</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2062</v>
      </c>
      <c r="G1312" s="26">
        <v>0.936114789</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2064</v>
      </c>
      <c r="G1313" s="26">
        <v>0.93608037899999996</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2067</v>
      </c>
      <c r="G1314" s="26">
        <v>0.93602506799999996</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6</v>
      </c>
      <c r="F1315" s="25">
        <v>2071</v>
      </c>
      <c r="G1315" s="26">
        <v>0.93599686800000004</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6</v>
      </c>
      <c r="F1316" s="25">
        <v>2076</v>
      </c>
      <c r="G1316" s="26">
        <v>0.93613701299999996</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6</v>
      </c>
      <c r="F1317" s="25">
        <v>2077</v>
      </c>
      <c r="G1317" s="26">
        <v>0.93616478000000003</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6</v>
      </c>
      <c r="F1318" s="25">
        <v>2081</v>
      </c>
      <c r="G1318" s="26">
        <v>0.93631381300000005</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6</v>
      </c>
      <c r="F1319" s="25">
        <v>2082</v>
      </c>
      <c r="G1319" s="26">
        <v>0.936381095</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6</v>
      </c>
      <c r="F1320" s="25">
        <v>2087</v>
      </c>
      <c r="G1320" s="26">
        <v>0.93672018700000004</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6</v>
      </c>
      <c r="F1321" s="25">
        <v>2091</v>
      </c>
      <c r="G1321" s="26">
        <v>0.93696934865293702</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6</v>
      </c>
      <c r="F1322" s="25">
        <v>2300</v>
      </c>
      <c r="G1322" s="26">
        <v>0.93696934865293702</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2010</v>
      </c>
      <c r="G1323" s="26">
        <v>0.93420725950000005</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2011</v>
      </c>
      <c r="G1324" s="26">
        <v>0.93437725100000002</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2013</v>
      </c>
      <c r="G1325" s="26">
        <v>0.93471723399999995</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2017</v>
      </c>
      <c r="G1326" s="26">
        <v>0.935363273</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2025</v>
      </c>
      <c r="G1327" s="26">
        <v>0.93677855600000004</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2029</v>
      </c>
      <c r="G1328" s="26">
        <v>0.93752073700000005</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2032</v>
      </c>
      <c r="G1329" s="26">
        <v>0.93740489599999999</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2033</v>
      </c>
      <c r="G1330" s="26">
        <v>0.93725782199999996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2037</v>
      </c>
      <c r="G1331" s="26">
        <v>0.936672489</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2044</v>
      </c>
      <c r="G1332" s="26">
        <v>0.93599335699999997</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2048</v>
      </c>
      <c r="G1333" s="26">
        <v>0.93574807800000004</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2049</v>
      </c>
      <c r="G1334" s="26">
        <v>0.93568696200000001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2050</v>
      </c>
      <c r="G1335" s="26">
        <v>0.93562630400000002</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2052</v>
      </c>
      <c r="G1336" s="26">
        <v>0.93564524100000002</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2055</v>
      </c>
      <c r="G1337" s="26">
        <v>0.93567302799999996</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2059</v>
      </c>
      <c r="G1338" s="26">
        <v>0.93571236599999996</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2061</v>
      </c>
      <c r="G1339" s="26">
        <v>0.93569438500000002</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2062</v>
      </c>
      <c r="G1340" s="26">
        <v>0.93566713099999999</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2064</v>
      </c>
      <c r="G1341" s="26">
        <v>0.93561269000000002</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7</v>
      </c>
      <c r="F1342" s="25">
        <v>2067</v>
      </c>
      <c r="G1342" s="26">
        <v>0.93552850300000001</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7</v>
      </c>
      <c r="F1343" s="25">
        <v>2071</v>
      </c>
      <c r="G1343" s="26">
        <v>0.93549215900000005</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7</v>
      </c>
      <c r="F1344" s="25">
        <v>2076</v>
      </c>
      <c r="G1344" s="26">
        <v>0.93573010099999998</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7</v>
      </c>
      <c r="F1345" s="25">
        <v>2077</v>
      </c>
      <c r="G1345" s="26">
        <v>0.93577663700000002</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7</v>
      </c>
      <c r="F1346" s="25">
        <v>2081</v>
      </c>
      <c r="G1346" s="26">
        <v>0.935996473</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7</v>
      </c>
      <c r="F1347" s="25">
        <v>2082</v>
      </c>
      <c r="G1347" s="26">
        <v>0.93607741499999997</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7</v>
      </c>
      <c r="F1348" s="25">
        <v>2087</v>
      </c>
      <c r="G1348" s="26">
        <v>0.93648129999999996</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7</v>
      </c>
      <c r="F1349" s="25">
        <v>2091</v>
      </c>
      <c r="G1349" s="26">
        <v>0.93678564188077096</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7</v>
      </c>
      <c r="F1350" s="25">
        <v>2300</v>
      </c>
      <c r="G1350" s="26">
        <v>0.93678564188077096</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2010</v>
      </c>
      <c r="G1351" s="26">
        <v>0.93480331049999987</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2011</v>
      </c>
      <c r="G1352" s="26">
        <v>0.93478245699999996</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2013</v>
      </c>
      <c r="G1353" s="26">
        <v>0.93474075000000001</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2017</v>
      </c>
      <c r="G1354" s="26">
        <v>0.93462808500000005</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2025</v>
      </c>
      <c r="G1355" s="26">
        <v>0.93630601700000005</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2029</v>
      </c>
      <c r="G1356" s="26">
        <v>0.93778172699999995</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2032</v>
      </c>
      <c r="G1357" s="26">
        <v>0.93797709600000001</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2033</v>
      </c>
      <c r="G1358" s="26">
        <v>0.93789931699999995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2037</v>
      </c>
      <c r="G1359" s="26">
        <v>0.93758358500000005</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2044</v>
      </c>
      <c r="G1360" s="26">
        <v>0.93718270599999998</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2048</v>
      </c>
      <c r="G1361" s="26">
        <v>0.93697875200000003</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2049</v>
      </c>
      <c r="G1362" s="26">
        <v>0.936927277</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2050</v>
      </c>
      <c r="G1363" s="26">
        <v>0.93687367799999999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2052</v>
      </c>
      <c r="G1364" s="26">
        <v>0.93706963200000004</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2055</v>
      </c>
      <c r="G1365" s="26">
        <v>0.93735864800000002</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2059</v>
      </c>
      <c r="G1366" s="26">
        <v>0.93777972399999998</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2061</v>
      </c>
      <c r="G1367" s="26">
        <v>0.93786589499999995</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2062</v>
      </c>
      <c r="G1368" s="26">
        <v>0.93785041400000002</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8</v>
      </c>
      <c r="F1369" s="25">
        <v>2064</v>
      </c>
      <c r="G1369" s="26">
        <v>0.93781914099999997</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8</v>
      </c>
      <c r="F1370" s="25">
        <v>2067</v>
      </c>
      <c r="G1370" s="26">
        <v>0.93777200599999999</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8</v>
      </c>
      <c r="F1371" s="25">
        <v>2071</v>
      </c>
      <c r="G1371" s="26">
        <v>0.93775534800000004</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8</v>
      </c>
      <c r="F1372" s="25">
        <v>2076</v>
      </c>
      <c r="G1372" s="26">
        <v>0.93789983799999999</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8</v>
      </c>
      <c r="F1373" s="25">
        <v>2077</v>
      </c>
      <c r="G1373" s="26">
        <v>0.93792998999999999</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8</v>
      </c>
      <c r="F1374" s="25">
        <v>2081</v>
      </c>
      <c r="G1374" s="26">
        <v>0.93808667099999998</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8</v>
      </c>
      <c r="F1375" s="25">
        <v>2082</v>
      </c>
      <c r="G1375" s="26">
        <v>0.93815620099999997</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8</v>
      </c>
      <c r="F1376" s="25">
        <v>2087</v>
      </c>
      <c r="G1376" s="26">
        <v>0.93850641300000004</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8</v>
      </c>
      <c r="F1377" s="25">
        <v>2091</v>
      </c>
      <c r="G1377" s="26">
        <v>0.938759261009257</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8</v>
      </c>
      <c r="F1378" s="25">
        <v>2300</v>
      </c>
      <c r="G1378" s="26">
        <v>0.938759261009257</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2010</v>
      </c>
      <c r="G1379" s="26">
        <v>0.93330461750000004</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2011</v>
      </c>
      <c r="G1380" s="26">
        <v>0.93353595700000003</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2013</v>
      </c>
      <c r="G1381" s="26">
        <v>0.93399863599999999</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2017</v>
      </c>
      <c r="G1382" s="26">
        <v>0.93488496499999996</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2025</v>
      </c>
      <c r="G1383" s="26">
        <v>0.93644254800000004</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2029</v>
      </c>
      <c r="G1384" s="26">
        <v>0.937189143</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2032</v>
      </c>
      <c r="G1385" s="26">
        <v>0.93717529799999999</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2033</v>
      </c>
      <c r="G1386" s="26">
        <v>0.93707756399999997</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2037</v>
      </c>
      <c r="G1387" s="26">
        <v>0.936686185</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2044</v>
      </c>
      <c r="G1388" s="26">
        <v>0.93625290000000005</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2048</v>
      </c>
      <c r="G1389" s="26">
        <v>0.93611719500000001</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2049</v>
      </c>
      <c r="G1390" s="26">
        <v>0.93608435199999995</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2050</v>
      </c>
      <c r="G1391" s="26">
        <v>0.93605020900000002</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2052</v>
      </c>
      <c r="G1392" s="26">
        <v>0.93611082199999995</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2055</v>
      </c>
      <c r="G1393" s="26">
        <v>0.93620020999999998</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2059</v>
      </c>
      <c r="G1394" s="26">
        <v>0.93633414100000001</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2061</v>
      </c>
      <c r="G1395" s="26">
        <v>0.93633142400000002</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9</v>
      </c>
      <c r="F1396" s="25">
        <v>2062</v>
      </c>
      <c r="G1396" s="26">
        <v>0.936295408</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9</v>
      </c>
      <c r="F1397" s="25">
        <v>2064</v>
      </c>
      <c r="G1397" s="26">
        <v>0.93622494499999998</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9</v>
      </c>
      <c r="F1398" s="25">
        <v>2067</v>
      </c>
      <c r="G1398" s="26">
        <v>0.93611856999999998</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9</v>
      </c>
      <c r="F1399" s="25">
        <v>2071</v>
      </c>
      <c r="G1399" s="26">
        <v>0.93605880299999999</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9</v>
      </c>
      <c r="F1400" s="25">
        <v>2076</v>
      </c>
      <c r="G1400" s="26">
        <v>0.93628555000000002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9</v>
      </c>
      <c r="F1401" s="25">
        <v>2077</v>
      </c>
      <c r="G1401" s="26">
        <v>0.93633159600000004</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9</v>
      </c>
      <c r="F1402" s="25">
        <v>2081</v>
      </c>
      <c r="G1402" s="26">
        <v>0.93654976400000001</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9</v>
      </c>
      <c r="F1403" s="25">
        <v>2082</v>
      </c>
      <c r="G1403" s="26">
        <v>0.93663098199999995</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9</v>
      </c>
      <c r="F1404" s="25">
        <v>2087</v>
      </c>
      <c r="G1404" s="26">
        <v>0.93703787699999996</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9</v>
      </c>
      <c r="F1405" s="25">
        <v>2091</v>
      </c>
      <c r="G1405" s="26">
        <v>0.93733440063401396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9</v>
      </c>
      <c r="F1406" s="25">
        <v>2300</v>
      </c>
      <c r="G1406" s="26">
        <v>0.93733440063401396</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2010</v>
      </c>
      <c r="G1407" s="26">
        <v>0.93398487050000001</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2011</v>
      </c>
      <c r="G1408" s="26">
        <v>0.93430822099999999</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2013</v>
      </c>
      <c r="G1409" s="26">
        <v>0.93495492199999997</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2017</v>
      </c>
      <c r="G1410" s="26">
        <v>0.93618539899999997</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2025</v>
      </c>
      <c r="G1411" s="26">
        <v>0.93747787500000002</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2029</v>
      </c>
      <c r="G1412" s="26">
        <v>0.93781891500000003</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2032</v>
      </c>
      <c r="G1413" s="26">
        <v>0.93791954200000005</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2033</v>
      </c>
      <c r="G1414" s="26">
        <v>0.937928333</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2037</v>
      </c>
      <c r="G1415" s="26">
        <v>0.937953233</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2044</v>
      </c>
      <c r="G1416" s="26">
        <v>0.93793922399999996</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2048</v>
      </c>
      <c r="G1417" s="26">
        <v>0.93791443600000002</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2049</v>
      </c>
      <c r="G1418" s="26">
        <v>0.93790825799999999</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2050</v>
      </c>
      <c r="G1419" s="26">
        <v>0.93790216999999998</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2052</v>
      </c>
      <c r="G1420" s="26">
        <v>0.93785322599999998</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2055</v>
      </c>
      <c r="G1421" s="26">
        <v>0.93778104600000001</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2059</v>
      </c>
      <c r="G1422" s="26">
        <v>0.93769330900000003</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10</v>
      </c>
      <c r="F1423" s="25">
        <v>2061</v>
      </c>
      <c r="G1423" s="26">
        <v>0.93767573400000004</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10</v>
      </c>
      <c r="F1424" s="25">
        <v>2062</v>
      </c>
      <c r="G1424" s="26">
        <v>0.93767973400000004</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10</v>
      </c>
      <c r="F1425" s="25">
        <v>2064</v>
      </c>
      <c r="G1425" s="26">
        <v>0.93768727799999996</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10</v>
      </c>
      <c r="F1426" s="25">
        <v>2067</v>
      </c>
      <c r="G1426" s="26">
        <v>0.93769776400000004</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10</v>
      </c>
      <c r="F1427" s="25">
        <v>2071</v>
      </c>
      <c r="G1427" s="26">
        <v>0.93774759900000004</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10</v>
      </c>
      <c r="F1428" s="25">
        <v>2076</v>
      </c>
      <c r="G1428" s="26">
        <v>0.93794379100000003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10</v>
      </c>
      <c r="F1429" s="25">
        <v>2077</v>
      </c>
      <c r="G1429" s="26">
        <v>0.93798287999999996</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10</v>
      </c>
      <c r="F1430" s="25">
        <v>2081</v>
      </c>
      <c r="G1430" s="26">
        <v>0.93816065400000004</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10</v>
      </c>
      <c r="F1431" s="25">
        <v>2082</v>
      </c>
      <c r="G1431" s="26">
        <v>0.93822153900000005</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10</v>
      </c>
      <c r="F1432" s="25">
        <v>2087</v>
      </c>
      <c r="G1432" s="26">
        <v>0.93852707099999999</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10</v>
      </c>
      <c r="F1433" s="25">
        <v>2091</v>
      </c>
      <c r="G1433" s="26">
        <v>0.93877872624510095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10</v>
      </c>
      <c r="F1434" s="25">
        <v>2300</v>
      </c>
      <c r="G1434" s="26">
        <v>0.93877872624510095</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2010</v>
      </c>
      <c r="G1435" s="26">
        <v>0.92457310400000015</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2011</v>
      </c>
      <c r="G1436" s="26">
        <v>0.92506605900000005</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2013</v>
      </c>
      <c r="G1437" s="26">
        <v>0.92605196899999997</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2017</v>
      </c>
      <c r="G1438" s="26">
        <v>0.92785706099999998</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2025</v>
      </c>
      <c r="G1439" s="26">
        <v>0.92977268099999999</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2029</v>
      </c>
      <c r="G1440" s="26">
        <v>0.93030529100000003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2032</v>
      </c>
      <c r="G1441" s="26">
        <v>0.93064461799999998</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2033</v>
      </c>
      <c r="G1442" s="26">
        <v>0.93074827999999998</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2037</v>
      </c>
      <c r="G1443" s="26">
        <v>0.93114296699999999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2044</v>
      </c>
      <c r="G1444" s="26">
        <v>0.93166017000000001</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2048</v>
      </c>
      <c r="G1445" s="26">
        <v>0.93188215500000005</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2049</v>
      </c>
      <c r="G1446" s="26">
        <v>0.93193548999999998</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2050</v>
      </c>
      <c r="G1447" s="26">
        <v>0.93198818900000002</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2052</v>
      </c>
      <c r="G1448" s="26">
        <v>0.93205494700000002</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2055</v>
      </c>
      <c r="G1449" s="26">
        <v>0.93215202699999999</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11</v>
      </c>
      <c r="F1450" s="25">
        <v>2059</v>
      </c>
      <c r="G1450" s="26">
        <v>0.93228816400000003</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11</v>
      </c>
      <c r="F1451" s="25">
        <v>2061</v>
      </c>
      <c r="G1451" s="26">
        <v>0.93238550600000003</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11</v>
      </c>
      <c r="F1452" s="25">
        <v>2062</v>
      </c>
      <c r="G1452" s="26">
        <v>0.93244899800000003</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11</v>
      </c>
      <c r="F1453" s="25">
        <v>2064</v>
      </c>
      <c r="G1453" s="26">
        <v>0.93257463500000004</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11</v>
      </c>
      <c r="F1454" s="25">
        <v>2067</v>
      </c>
      <c r="G1454" s="26">
        <v>0.93275857600000001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11</v>
      </c>
      <c r="F1455" s="25">
        <v>2071</v>
      </c>
      <c r="G1455" s="26">
        <v>0.93302732799999999</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11</v>
      </c>
      <c r="F1456" s="25">
        <v>2076</v>
      </c>
      <c r="G1456" s="26">
        <v>0.93346119299999997</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11</v>
      </c>
      <c r="F1457" s="25">
        <v>2077</v>
      </c>
      <c r="G1457" s="26">
        <v>0.93354591600000003</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11</v>
      </c>
      <c r="F1458" s="25">
        <v>2081</v>
      </c>
      <c r="G1458" s="26">
        <v>0.93391423100000004</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11</v>
      </c>
      <c r="F1459" s="25">
        <v>2082</v>
      </c>
      <c r="G1459" s="26">
        <v>0.93403106899999999</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11</v>
      </c>
      <c r="F1460" s="25">
        <v>2087</v>
      </c>
      <c r="G1460" s="26">
        <v>0.93460578400000005</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11</v>
      </c>
      <c r="F1461" s="25">
        <v>2091</v>
      </c>
      <c r="G1461" s="26">
        <v>0.93506487741661104</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11</v>
      </c>
      <c r="F1462" s="25">
        <v>2300</v>
      </c>
      <c r="G1462" s="26">
        <v>0.93506487741661104</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2010</v>
      </c>
      <c r="G1463" s="26">
        <v>0.92364952550000012</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2011</v>
      </c>
      <c r="G1464" s="26">
        <v>0.92421947599999998</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2013</v>
      </c>
      <c r="G1465" s="26">
        <v>0.92535937700000004</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2017</v>
      </c>
      <c r="G1466" s="26">
        <v>0.92749802699999995</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2025</v>
      </c>
      <c r="G1467" s="26">
        <v>0.93005248200000001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2029</v>
      </c>
      <c r="G1468" s="26">
        <v>0.93084014999999998</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2032</v>
      </c>
      <c r="G1469" s="26">
        <v>0.93094176799999995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2033</v>
      </c>
      <c r="G1470" s="26">
        <v>0.93089935599999996</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2037</v>
      </c>
      <c r="G1471" s="26">
        <v>0.93073139100000002</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2044</v>
      </c>
      <c r="G1472" s="26">
        <v>0.93095013900000001</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2048</v>
      </c>
      <c r="G1473" s="26">
        <v>0.93127688399999997</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2049</v>
      </c>
      <c r="G1474" s="26">
        <v>0.93135625799999999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2050</v>
      </c>
      <c r="G1475" s="26">
        <v>0.93143453700000001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2052</v>
      </c>
      <c r="G1476" s="26">
        <v>0.93147559700000004</v>
      </c>
    </row>
    <row r="1477" spans="1:7" x14ac:dyDescent="0.35">
      <c r="A1477" s="9">
        <f xml:space="preserve"> ROW( scalarDataframe[[#This Row],[row_id]] ) - ROW( scalarDataframe[[#Headers],[row_id]] )</f>
        <v>1476</v>
      </c>
      <c r="B1477" s="16" t="str">
        <f xml:space="preserve"> INDEX( co_scalarInfo[scalarType], MATCH( scalarDataframe[[#This Row],[scalarName]], co_scalarInfo[scalarName], 0 ) )</f>
        <v>physAdj</v>
      </c>
      <c r="C1477" s="44" t="str">
        <f xml:space="preserve"> INDEX( co_scalarInfo[scalarLabel], MATCH( scalarDataframe[[#This Row],[scalarName]], co_scalarInfo[scalarName], 0 ) )</f>
        <v>MH 5+ Population Proportion Adjustment Factor</v>
      </c>
      <c r="D1477" s="24" t="s">
        <v>1317</v>
      </c>
      <c r="E1477" s="17" t="s">
        <v>12</v>
      </c>
      <c r="F1477" s="25">
        <v>2055</v>
      </c>
      <c r="G1477" s="26">
        <v>0.93153523999999999</v>
      </c>
    </row>
    <row r="1478" spans="1:7" x14ac:dyDescent="0.35">
      <c r="A1478" s="9">
        <f xml:space="preserve"> ROW( scalarDataframe[[#This Row],[row_id]] ) - ROW( scalarDataframe[[#Headers],[row_id]] )</f>
        <v>1477</v>
      </c>
      <c r="B1478" s="16" t="str">
        <f xml:space="preserve"> INDEX( co_scalarInfo[scalarType], MATCH( scalarDataframe[[#This Row],[scalarName]], co_scalarInfo[scalarName], 0 ) )</f>
        <v>physAdj</v>
      </c>
      <c r="C1478" s="44" t="str">
        <f xml:space="preserve"> INDEX( co_scalarInfo[scalarLabel], MATCH( scalarDataframe[[#This Row],[scalarName]], co_scalarInfo[scalarName], 0 ) )</f>
        <v>MH 5+ Population Proportion Adjustment Factor</v>
      </c>
      <c r="D1478" s="24" t="s">
        <v>1317</v>
      </c>
      <c r="E1478" s="17" t="s">
        <v>12</v>
      </c>
      <c r="F1478" s="25">
        <v>2059</v>
      </c>
      <c r="G1478" s="26">
        <v>0.93161003200000003</v>
      </c>
    </row>
    <row r="1479" spans="1:7" x14ac:dyDescent="0.35">
      <c r="A1479" s="9">
        <f xml:space="preserve"> ROW( scalarDataframe[[#This Row],[row_id]] ) - ROW( scalarDataframe[[#Headers],[row_id]] )</f>
        <v>1478</v>
      </c>
      <c r="B1479" s="16" t="str">
        <f xml:space="preserve"> INDEX( co_scalarInfo[scalarType], MATCH( scalarDataframe[[#This Row],[scalarName]], co_scalarInfo[scalarName], 0 ) )</f>
        <v>physAdj</v>
      </c>
      <c r="C1479" s="44" t="str">
        <f xml:space="preserve"> INDEX( co_scalarInfo[scalarLabel], MATCH( scalarDataframe[[#This Row],[scalarName]], co_scalarInfo[scalarName], 0 ) )</f>
        <v>MH 5+ Population Proportion Adjustment Factor</v>
      </c>
      <c r="D1479" s="24" t="s">
        <v>1317</v>
      </c>
      <c r="E1479" s="17" t="s">
        <v>12</v>
      </c>
      <c r="F1479" s="25">
        <v>2061</v>
      </c>
      <c r="G1479" s="26">
        <v>0.93163435699999997</v>
      </c>
    </row>
    <row r="1480" spans="1:7" x14ac:dyDescent="0.35">
      <c r="A1480" s="9">
        <f xml:space="preserve"> ROW( scalarDataframe[[#This Row],[row_id]] ) - ROW( scalarDataframe[[#Headers],[row_id]] )</f>
        <v>1479</v>
      </c>
      <c r="B1480" s="16" t="str">
        <f xml:space="preserve"> INDEX( co_scalarInfo[scalarType], MATCH( scalarDataframe[[#This Row],[scalarName]], co_scalarInfo[scalarName], 0 ) )</f>
        <v>physAdj</v>
      </c>
      <c r="C1480" s="44" t="str">
        <f xml:space="preserve"> INDEX( co_scalarInfo[scalarLabel], MATCH( scalarDataframe[[#This Row],[scalarName]], co_scalarInfo[scalarName], 0 ) )</f>
        <v>MH 5+ Population Proportion Adjustment Factor</v>
      </c>
      <c r="D1480" s="24" t="s">
        <v>1317</v>
      </c>
      <c r="E1480" s="17" t="s">
        <v>12</v>
      </c>
      <c r="F1480" s="25">
        <v>2062</v>
      </c>
      <c r="G1480" s="26">
        <v>0.93164050700000001</v>
      </c>
    </row>
    <row r="1481" spans="1:7" x14ac:dyDescent="0.35">
      <c r="A1481" s="9">
        <f xml:space="preserve"> ROW( scalarDataframe[[#This Row],[row_id]] ) - ROW( scalarDataframe[[#Headers],[row_id]] )</f>
        <v>1480</v>
      </c>
      <c r="B1481" s="16" t="str">
        <f xml:space="preserve"> INDEX( co_scalarInfo[scalarType], MATCH( scalarDataframe[[#This Row],[scalarName]], co_scalarInfo[scalarName], 0 ) )</f>
        <v>physAdj</v>
      </c>
      <c r="C1481" s="44" t="str">
        <f xml:space="preserve"> INDEX( co_scalarInfo[scalarLabel], MATCH( scalarDataframe[[#This Row],[scalarName]], co_scalarInfo[scalarName], 0 ) )</f>
        <v>MH 5+ Population Proportion Adjustment Factor</v>
      </c>
      <c r="D1481" s="24" t="s">
        <v>1317</v>
      </c>
      <c r="E1481" s="17" t="s">
        <v>12</v>
      </c>
      <c r="F1481" s="25">
        <v>2064</v>
      </c>
      <c r="G1481" s="26">
        <v>0.93165251100000002</v>
      </c>
    </row>
    <row r="1482" spans="1:7" x14ac:dyDescent="0.35">
      <c r="A1482" s="9">
        <f xml:space="preserve"> ROW( scalarDataframe[[#This Row],[row_id]] ) - ROW( scalarDataframe[[#Headers],[row_id]] )</f>
        <v>1481</v>
      </c>
      <c r="B1482" s="16" t="str">
        <f xml:space="preserve"> INDEX( co_scalarInfo[scalarType], MATCH( scalarDataframe[[#This Row],[scalarName]], co_scalarInfo[scalarName], 0 ) )</f>
        <v>physAdj</v>
      </c>
      <c r="C1482" s="44" t="str">
        <f xml:space="preserve"> INDEX( co_scalarInfo[scalarLabel], MATCH( scalarDataframe[[#This Row],[scalarName]], co_scalarInfo[scalarName], 0 ) )</f>
        <v>MH 5+ Population Proportion Adjustment Factor</v>
      </c>
      <c r="D1482" s="24" t="s">
        <v>1317</v>
      </c>
      <c r="E1482" s="17" t="s">
        <v>12</v>
      </c>
      <c r="F1482" s="25">
        <v>2067</v>
      </c>
      <c r="G1482" s="26">
        <v>0.93166899299999995</v>
      </c>
    </row>
    <row r="1483" spans="1:7" x14ac:dyDescent="0.35">
      <c r="A1483" s="9">
        <f xml:space="preserve"> ROW( scalarDataframe[[#This Row],[row_id]] ) - ROW( scalarDataframe[[#Headers],[row_id]] )</f>
        <v>1482</v>
      </c>
      <c r="B1483" s="16" t="str">
        <f xml:space="preserve"> INDEX( co_scalarInfo[scalarType], MATCH( scalarDataframe[[#This Row],[scalarName]], co_scalarInfo[scalarName], 0 ) )</f>
        <v>physAdj</v>
      </c>
      <c r="C1483" s="44" t="str">
        <f xml:space="preserve"> INDEX( co_scalarInfo[scalarLabel], MATCH( scalarDataframe[[#This Row],[scalarName]], co_scalarInfo[scalarName], 0 ) )</f>
        <v>MH 5+ Population Proportion Adjustment Factor</v>
      </c>
      <c r="D1483" s="24" t="s">
        <v>1317</v>
      </c>
      <c r="E1483" s="17" t="s">
        <v>12</v>
      </c>
      <c r="F1483" s="25">
        <v>2071</v>
      </c>
      <c r="G1483" s="26">
        <v>0.93179395600000003</v>
      </c>
    </row>
    <row r="1484" spans="1:7" x14ac:dyDescent="0.35">
      <c r="A1484" s="9">
        <f xml:space="preserve"> ROW( scalarDataframe[[#This Row],[row_id]] ) - ROW( scalarDataframe[[#Headers],[row_id]] )</f>
        <v>1483</v>
      </c>
      <c r="B1484" s="16" t="str">
        <f xml:space="preserve"> INDEX( co_scalarInfo[scalarType], MATCH( scalarDataframe[[#This Row],[scalarName]], co_scalarInfo[scalarName], 0 ) )</f>
        <v>physAdj</v>
      </c>
      <c r="C1484" s="44" t="str">
        <f xml:space="preserve"> INDEX( co_scalarInfo[scalarLabel], MATCH( scalarDataframe[[#This Row],[scalarName]], co_scalarInfo[scalarName], 0 ) )</f>
        <v>MH 5+ Population Proportion Adjustment Factor</v>
      </c>
      <c r="D1484" s="24" t="s">
        <v>1317</v>
      </c>
      <c r="E1484" s="17" t="s">
        <v>12</v>
      </c>
      <c r="F1484" s="25">
        <v>2076</v>
      </c>
      <c r="G1484" s="26">
        <v>0.93232603700000005</v>
      </c>
    </row>
    <row r="1485" spans="1:7" x14ac:dyDescent="0.35">
      <c r="A1485" s="9">
        <f xml:space="preserve"> ROW( scalarDataframe[[#This Row],[row_id]] ) - ROW( scalarDataframe[[#Headers],[row_id]] )</f>
        <v>1484</v>
      </c>
      <c r="B1485" s="16" t="str">
        <f xml:space="preserve"> INDEX( co_scalarInfo[scalarType], MATCH( scalarDataframe[[#This Row],[scalarName]], co_scalarInfo[scalarName], 0 ) )</f>
        <v>physAdj</v>
      </c>
      <c r="C1485" s="44" t="str">
        <f xml:space="preserve"> INDEX( co_scalarInfo[scalarLabel], MATCH( scalarDataframe[[#This Row],[scalarName]], co_scalarInfo[scalarName], 0 ) )</f>
        <v>MH 5+ Population Proportion Adjustment Factor</v>
      </c>
      <c r="D1485" s="24" t="s">
        <v>1317</v>
      </c>
      <c r="E1485" s="17" t="s">
        <v>12</v>
      </c>
      <c r="F1485" s="25">
        <v>2077</v>
      </c>
      <c r="G1485" s="26">
        <v>0.932429748</v>
      </c>
    </row>
    <row r="1486" spans="1:7" x14ac:dyDescent="0.35">
      <c r="A1486" s="9">
        <f xml:space="preserve"> ROW( scalarDataframe[[#This Row],[row_id]] ) - ROW( scalarDataframe[[#Headers],[row_id]] )</f>
        <v>1485</v>
      </c>
      <c r="B1486" s="16" t="str">
        <f xml:space="preserve"> INDEX( co_scalarInfo[scalarType], MATCH( scalarDataframe[[#This Row],[scalarName]], co_scalarInfo[scalarName], 0 ) )</f>
        <v>physAdj</v>
      </c>
      <c r="C1486" s="44" t="str">
        <f xml:space="preserve"> INDEX( co_scalarInfo[scalarLabel], MATCH( scalarDataframe[[#This Row],[scalarName]], co_scalarInfo[scalarName], 0 ) )</f>
        <v>MH 5+ Population Proportion Adjustment Factor</v>
      </c>
      <c r="D1486" s="24" t="s">
        <v>1317</v>
      </c>
      <c r="E1486" s="17" t="s">
        <v>12</v>
      </c>
      <c r="F1486" s="25">
        <v>2081</v>
      </c>
      <c r="G1486" s="26">
        <v>0.93286594199999995</v>
      </c>
    </row>
    <row r="1487" spans="1:7" x14ac:dyDescent="0.35">
      <c r="A1487" s="9">
        <f xml:space="preserve"> ROW( scalarDataframe[[#This Row],[row_id]] ) - ROW( scalarDataframe[[#Headers],[row_id]] )</f>
        <v>1486</v>
      </c>
      <c r="B1487" s="16" t="str">
        <f xml:space="preserve"> INDEX( co_scalarInfo[scalarType], MATCH( scalarDataframe[[#This Row],[scalarName]], co_scalarInfo[scalarName], 0 ) )</f>
        <v>physAdj</v>
      </c>
      <c r="C1487" s="44" t="str">
        <f xml:space="preserve"> INDEX( co_scalarInfo[scalarLabel], MATCH( scalarDataframe[[#This Row],[scalarName]], co_scalarInfo[scalarName], 0 ) )</f>
        <v>MH 5+ Population Proportion Adjustment Factor</v>
      </c>
      <c r="D1487" s="24" t="s">
        <v>1317</v>
      </c>
      <c r="E1487" s="17" t="s">
        <v>12</v>
      </c>
      <c r="F1487" s="25">
        <v>2082</v>
      </c>
      <c r="G1487" s="26">
        <v>0.93299521299999999</v>
      </c>
    </row>
    <row r="1488" spans="1:7" x14ac:dyDescent="0.35">
      <c r="A1488" s="9">
        <f xml:space="preserve"> ROW( scalarDataframe[[#This Row],[row_id]] ) - ROW( scalarDataframe[[#Headers],[row_id]] )</f>
        <v>1487</v>
      </c>
      <c r="B1488" s="16" t="str">
        <f xml:space="preserve"> INDEX( co_scalarInfo[scalarType], MATCH( scalarDataframe[[#This Row],[scalarName]], co_scalarInfo[scalarName], 0 ) )</f>
        <v>physAdj</v>
      </c>
      <c r="C1488" s="44" t="str">
        <f xml:space="preserve"> INDEX( co_scalarInfo[scalarLabel], MATCH( scalarDataframe[[#This Row],[scalarName]], co_scalarInfo[scalarName], 0 ) )</f>
        <v>MH 5+ Population Proportion Adjustment Factor</v>
      </c>
      <c r="D1488" s="24" t="s">
        <v>1317</v>
      </c>
      <c r="E1488" s="17" t="s">
        <v>12</v>
      </c>
      <c r="F1488" s="25">
        <v>2087</v>
      </c>
      <c r="G1488" s="26">
        <v>0.93362943700000001</v>
      </c>
    </row>
    <row r="1489" spans="1:7" x14ac:dyDescent="0.35">
      <c r="A1489" s="9">
        <f xml:space="preserve"> ROW( scalarDataframe[[#This Row],[row_id]] ) - ROW( scalarDataframe[[#Headers],[row_id]] )</f>
        <v>1488</v>
      </c>
      <c r="B1489" s="16" t="str">
        <f xml:space="preserve"> INDEX( co_scalarInfo[scalarType], MATCH( scalarDataframe[[#This Row],[scalarName]], co_scalarInfo[scalarName], 0 ) )</f>
        <v>physAdj</v>
      </c>
      <c r="C1489" s="44" t="str">
        <f xml:space="preserve"> INDEX( co_scalarInfo[scalarLabel], MATCH( scalarDataframe[[#This Row],[scalarName]], co_scalarInfo[scalarName], 0 ) )</f>
        <v>MH 5+ Population Proportion Adjustment Factor</v>
      </c>
      <c r="D1489" s="24" t="s">
        <v>1317</v>
      </c>
      <c r="E1489" s="17" t="s">
        <v>12</v>
      </c>
      <c r="F1489" s="25">
        <v>2091</v>
      </c>
      <c r="G1489" s="26">
        <v>0.93412493335368196</v>
      </c>
    </row>
    <row r="1490" spans="1:7" x14ac:dyDescent="0.35">
      <c r="A1490" s="9">
        <f xml:space="preserve"> ROW( scalarDataframe[[#This Row],[row_id]] ) - ROW( scalarDataframe[[#Headers],[row_id]] )</f>
        <v>1489</v>
      </c>
      <c r="B1490" s="16" t="str">
        <f xml:space="preserve"> INDEX( co_scalarInfo[scalarType], MATCH( scalarDataframe[[#This Row],[scalarName]], co_scalarInfo[scalarName], 0 ) )</f>
        <v>physAdj</v>
      </c>
      <c r="C1490" s="44" t="str">
        <f xml:space="preserve"> INDEX( co_scalarInfo[scalarLabel], MATCH( scalarDataframe[[#This Row],[scalarName]], co_scalarInfo[scalarName], 0 ) )</f>
        <v>MH 5+ Population Proportion Adjustment Factor</v>
      </c>
      <c r="D1490" s="24" t="s">
        <v>1317</v>
      </c>
      <c r="E1490" s="17" t="s">
        <v>12</v>
      </c>
      <c r="F1490" s="25">
        <v>2300</v>
      </c>
      <c r="G1490"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2023-12-07T22:15:24Z</dcterms:modified>
</cp:coreProperties>
</file>