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updateLinks="never" codeName="ThisWorkbook" defaultThemeVersion="166925"/>
  <xr:revisionPtr revIDLastSave="0" documentId="13_ncr:1_{50955301-5CD5-4926-8F36-D160D5904EAE}" xr6:coauthVersionLast="47" xr6:coauthVersionMax="47" xr10:uidLastSave="{00000000-0000-0000-0000-000000000000}"/>
  <bookViews>
    <workbookView xWindow="5340" yWindow="0" windowWidth="23475" windowHeight="1548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controlTables!$D$269</definedName>
    <definedName name="k_coMillions">controlTables!$D$270</definedName>
    <definedName name="k_coThousands">controlTables!$D$271</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0" i="24" l="1"/>
  <c r="B172" i="24"/>
  <c r="P172" i="24"/>
  <c r="B173" i="24"/>
  <c r="P173" i="24"/>
  <c r="B121" i="24"/>
  <c r="H121" i="24"/>
  <c r="I121" i="24" a="1"/>
  <c r="I121" i="24" s="1"/>
  <c r="B122" i="24"/>
  <c r="H122" i="24"/>
  <c r="I122" i="24" a="1"/>
  <c r="I122" i="24" s="1"/>
  <c r="B70" i="24"/>
  <c r="B35" i="24"/>
  <c r="K35" i="24" a="1"/>
  <c r="K35" i="24" s="1"/>
  <c r="M35" i="24" a="1"/>
  <c r="M35" i="24" s="1"/>
  <c r="N35" i="24" a="1"/>
  <c r="N35" i="24" s="1"/>
  <c r="O35" i="24" a="1"/>
  <c r="O35" i="24" s="1"/>
  <c r="B279" i="24"/>
  <c r="B280" i="24"/>
  <c r="B281" i="24"/>
  <c r="B282" i="24"/>
  <c r="B283" i="24"/>
  <c r="B284" i="24"/>
  <c r="K21" i="24" a="1"/>
  <c r="K21" i="24" s="1"/>
  <c r="K22" i="24" a="1"/>
  <c r="K22" i="24" s="1"/>
  <c r="K23" i="24" a="1"/>
  <c r="K23" i="24" s="1"/>
  <c r="K24" i="24" a="1"/>
  <c r="K24" i="24" s="1"/>
  <c r="K25" i="24" a="1"/>
  <c r="K25" i="24" s="1"/>
  <c r="K26" i="24" a="1"/>
  <c r="K26" i="24" s="1"/>
  <c r="K27" i="24" a="1"/>
  <c r="K27" i="24" s="1"/>
  <c r="K28" i="24" a="1"/>
  <c r="K28" i="24" s="1"/>
  <c r="K29" i="24" a="1"/>
  <c r="K29" i="24" s="1"/>
  <c r="K30" i="24" a="1"/>
  <c r="K30" i="24" s="1"/>
  <c r="K31" i="24" a="1"/>
  <c r="K31" i="24" s="1"/>
  <c r="K32" i="24" a="1"/>
  <c r="K32" i="24" s="1"/>
  <c r="K33" i="24" a="1"/>
  <c r="K33" i="24" s="1"/>
  <c r="K34" i="24" a="1"/>
  <c r="K34"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K46" i="24" a="1"/>
  <c r="K46" i="24" s="1"/>
  <c r="K47" i="24" a="1"/>
  <c r="K47" i="24" s="1"/>
  <c r="K48" i="24" a="1"/>
  <c r="K48" i="24" s="1"/>
  <c r="K49" i="24" a="1"/>
  <c r="K49" i="24" s="1"/>
  <c r="K50" i="24" a="1"/>
  <c r="K50" i="24" s="1"/>
  <c r="K51" i="24" a="1"/>
  <c r="K51" i="24" s="1"/>
  <c r="B225"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3" i="24"/>
  <c r="H124" i="24"/>
  <c r="H125" i="24"/>
  <c r="H126" i="24"/>
  <c r="H127" i="24"/>
  <c r="H128" i="24"/>
  <c r="H129" i="24"/>
  <c r="H130" i="24"/>
  <c r="H131" i="24"/>
  <c r="H132" i="24"/>
  <c r="H133" i="24"/>
  <c r="H134" i="24"/>
  <c r="H135" i="24"/>
  <c r="H136" i="24"/>
  <c r="H137" i="24"/>
  <c r="H138" i="24"/>
  <c r="H139" i="24"/>
  <c r="H140" i="24"/>
  <c r="H141" i="24"/>
  <c r="H142" i="24"/>
  <c r="H143" i="24"/>
  <c r="H144" i="24"/>
  <c r="H145" i="24"/>
  <c r="H146" i="24"/>
  <c r="H147" i="24"/>
  <c r="B216" i="24"/>
  <c r="B217" i="24"/>
  <c r="B168" i="24"/>
  <c r="P168" i="24"/>
  <c r="B114" i="24"/>
  <c r="I114" i="24" a="1"/>
  <c r="I114" i="24" s="1"/>
  <c r="B115" i="24"/>
  <c r="I115" i="24" a="1"/>
  <c r="I115" i="24" s="1"/>
  <c r="B66" i="24"/>
  <c r="B31" i="24"/>
  <c r="M31" i="24" a="1"/>
  <c r="M31" i="24" s="1"/>
  <c r="N31" i="24" a="1"/>
  <c r="N31" i="24" s="1"/>
  <c r="O31" i="24" a="1"/>
  <c r="O31" i="24" s="1"/>
  <c r="B237" i="24"/>
  <c r="B233" i="24"/>
  <c r="B224" i="24"/>
  <c r="B181" i="24"/>
  <c r="P181" i="24"/>
  <c r="B182" i="24"/>
  <c r="P182" i="24"/>
  <c r="B183" i="24"/>
  <c r="P183" i="24"/>
  <c r="B184" i="24"/>
  <c r="P184" i="24"/>
  <c r="B185" i="24"/>
  <c r="P185" i="24"/>
  <c r="B131" i="24"/>
  <c r="I131" i="24" a="1"/>
  <c r="I131" i="24" s="1"/>
  <c r="B132" i="24"/>
  <c r="I132" i="24" a="1"/>
  <c r="I132" i="24" s="1"/>
  <c r="B75" i="24"/>
  <c r="B40" i="24"/>
  <c r="M40" i="24" a="1"/>
  <c r="M40" i="24" s="1"/>
  <c r="N40" i="24" a="1"/>
  <c r="N40" i="24" s="1"/>
  <c r="O40" i="24" a="1"/>
  <c r="O40" i="24" s="1"/>
  <c r="O21" i="24" a="1"/>
  <c r="O21" i="24" s="1"/>
  <c r="O22" i="24" a="1"/>
  <c r="O22" i="24" s="1"/>
  <c r="O23" i="24" a="1"/>
  <c r="O23" i="24" s="1"/>
  <c r="O24" i="24" a="1"/>
  <c r="O24" i="24" s="1"/>
  <c r="O25" i="24" a="1"/>
  <c r="O25" i="24" s="1"/>
  <c r="O26" i="24" a="1"/>
  <c r="O26" i="24" s="1"/>
  <c r="O27" i="24" a="1"/>
  <c r="O27" i="24" s="1"/>
  <c r="O28" i="24" a="1"/>
  <c r="O28" i="24" s="1"/>
  <c r="O29" i="24" a="1"/>
  <c r="O29" i="24" s="1"/>
  <c r="O30" i="24" a="1"/>
  <c r="O30" i="24" s="1"/>
  <c r="O32" i="24" a="1"/>
  <c r="O32" i="24" s="1"/>
  <c r="O33" i="24" a="1"/>
  <c r="O33" i="24" s="1"/>
  <c r="O34" i="24" a="1"/>
  <c r="O34" i="24" s="1"/>
  <c r="O36" i="24" a="1"/>
  <c r="O36" i="24" s="1"/>
  <c r="O37" i="24" a="1"/>
  <c r="O37" i="24" s="1"/>
  <c r="O38" i="24" a="1"/>
  <c r="O38" i="24" s="1"/>
  <c r="O39" i="24" a="1"/>
  <c r="O39" i="24" s="1"/>
  <c r="O41" i="24" a="1"/>
  <c r="O41" i="24" s="1"/>
  <c r="O42" i="24" a="1"/>
  <c r="O42" i="24" s="1"/>
  <c r="O43" i="24" a="1"/>
  <c r="O43" i="24" s="1"/>
  <c r="O44" i="24" a="1"/>
  <c r="O44" i="24" s="1"/>
  <c r="O45" i="24" a="1"/>
  <c r="O45" i="24" s="1"/>
  <c r="O46" i="24" a="1"/>
  <c r="O46" i="24" s="1"/>
  <c r="O47" i="24" a="1"/>
  <c r="O47" i="24" s="1"/>
  <c r="O48" i="24" a="1"/>
  <c r="O48" i="24" s="1"/>
  <c r="O49" i="24" a="1"/>
  <c r="O49" i="24" s="1"/>
  <c r="O50" i="24" a="1"/>
  <c r="O50" i="24" s="1"/>
  <c r="O51" i="24" a="1"/>
  <c r="O51" i="24" s="1"/>
  <c r="B230" i="24"/>
  <c r="H35" i="24"/>
  <c r="H31" i="24"/>
  <c r="H40" i="24"/>
  <c r="J35" i="24" l="1"/>
  <c r="J31" i="24"/>
  <c r="J40" i="24"/>
  <c r="B174" i="24"/>
  <c r="P174" i="24"/>
  <c r="B123" i="24"/>
  <c r="I123" i="24" a="1"/>
  <c r="I123" i="24" s="1"/>
  <c r="B71" i="24"/>
  <c r="B36" i="24"/>
  <c r="M36" i="24" a="1"/>
  <c r="M36" i="24" s="1"/>
  <c r="N36" i="24" a="1"/>
  <c r="N36"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6" i="24" a="1"/>
  <c r="I116" i="24" s="1"/>
  <c r="I117" i="24" a="1"/>
  <c r="I117" i="24" s="1"/>
  <c r="I118" i="24" a="1"/>
  <c r="I118" i="24" s="1"/>
  <c r="I119" i="24" a="1"/>
  <c r="I119" i="24" s="1"/>
  <c r="I120" i="24" a="1"/>
  <c r="I120" i="24" s="1"/>
  <c r="I124" i="24" a="1"/>
  <c r="I124" i="24" s="1"/>
  <c r="I125" i="24" a="1"/>
  <c r="I125" i="24" s="1"/>
  <c r="I126" i="24" a="1"/>
  <c r="I126" i="24" s="1"/>
  <c r="I127" i="24" a="1"/>
  <c r="I127" i="24" s="1"/>
  <c r="I128" i="24" a="1"/>
  <c r="I128" i="24" s="1"/>
  <c r="I129" i="24" a="1"/>
  <c r="I129" i="24" s="1"/>
  <c r="I130" i="24" a="1"/>
  <c r="I130"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B128" i="24"/>
  <c r="B129" i="24"/>
  <c r="B130" i="24"/>
  <c r="B74" i="24"/>
  <c r="B38" i="24"/>
  <c r="M38" i="24" a="1"/>
  <c r="M38" i="24" s="1"/>
  <c r="N38" i="24" a="1"/>
  <c r="N38" i="24" s="1"/>
  <c r="B176" i="24"/>
  <c r="P176" i="24"/>
  <c r="B177" i="24"/>
  <c r="P177" i="24"/>
  <c r="B178" i="24"/>
  <c r="P178" i="24"/>
  <c r="B179" i="24"/>
  <c r="P179" i="24"/>
  <c r="B180" i="24"/>
  <c r="P180" i="24"/>
  <c r="B125" i="24"/>
  <c r="B126" i="24"/>
  <c r="B127" i="24"/>
  <c r="B73" i="24"/>
  <c r="B39" i="24"/>
  <c r="M39" i="24" a="1"/>
  <c r="M39" i="24" s="1"/>
  <c r="N39" i="24" a="1"/>
  <c r="N39" i="24" s="1"/>
  <c r="C296" i="24"/>
  <c r="C297" i="24"/>
  <c r="C298" i="24"/>
  <c r="C299" i="24"/>
  <c r="C300" i="24"/>
  <c r="C301" i="24"/>
  <c r="C302" i="24"/>
  <c r="C303" i="24"/>
  <c r="C304" i="24"/>
  <c r="C305" i="24"/>
  <c r="C306" i="24"/>
  <c r="C307" i="24"/>
  <c r="C308" i="24"/>
  <c r="C309" i="24"/>
  <c r="F17" i="43"/>
  <c r="D324" i="24"/>
  <c r="D325" i="24"/>
  <c r="D326" i="24"/>
  <c r="D327" i="24"/>
  <c r="D328" i="24"/>
  <c r="D329" i="24"/>
  <c r="D330" i="24"/>
  <c r="B251" i="24"/>
  <c r="H36" i="24"/>
  <c r="H39" i="24"/>
  <c r="H38" i="24"/>
  <c r="J38" i="24" l="1"/>
  <c r="J39" i="24"/>
  <c r="J36" i="24"/>
  <c r="B252" i="24"/>
  <c r="B253" i="24"/>
  <c r="B221" i="24" l="1"/>
  <c r="B222" i="24"/>
  <c r="B17" i="43" l="1"/>
  <c r="B278" i="24"/>
  <c r="F16" i="43"/>
  <c r="B16" i="43"/>
  <c r="B336" i="24"/>
  <c r="B337" i="24"/>
  <c r="B338" i="24"/>
  <c r="B339" i="24"/>
  <c r="B340" i="24"/>
  <c r="B341" i="24"/>
  <c r="B342" i="24"/>
  <c r="B343" i="24"/>
  <c r="B344" i="24"/>
  <c r="B345" i="24"/>
  <c r="B346" i="24"/>
  <c r="B347" i="24"/>
  <c r="B348" i="24"/>
  <c r="B349" i="24"/>
  <c r="B350" i="24"/>
  <c r="B351" i="24"/>
  <c r="B352" i="24"/>
  <c r="B353" i="24"/>
  <c r="B354" i="24"/>
  <c r="B355" i="24"/>
  <c r="B356" i="24"/>
  <c r="B357" i="24"/>
  <c r="B358" i="24"/>
  <c r="B359" i="24"/>
  <c r="B360" i="24"/>
  <c r="B361" i="24"/>
  <c r="B362" i="24"/>
  <c r="B363" i="24"/>
  <c r="B364" i="24"/>
  <c r="B365" i="24"/>
  <c r="B366" i="24"/>
  <c r="B367" i="24"/>
  <c r="B368" i="24"/>
  <c r="B369" i="24"/>
  <c r="B370" i="24"/>
  <c r="B371" i="24"/>
  <c r="B372" i="24"/>
  <c r="B373" i="24"/>
  <c r="B374" i="24"/>
  <c r="B375" i="24"/>
  <c r="B376" i="24"/>
  <c r="B377" i="24"/>
  <c r="B378" i="24"/>
  <c r="B379" i="24"/>
  <c r="B380" i="24"/>
  <c r="B381" i="24"/>
  <c r="B382" i="24"/>
  <c r="B383" i="24"/>
  <c r="B384" i="24"/>
  <c r="B255" i="24"/>
  <c r="C14" i="24"/>
  <c r="C13" i="24"/>
  <c r="G17" i="43" a="1"/>
  <c r="H16" i="43"/>
  <c r="K17" i="43" a="1"/>
  <c r="J17" i="43" a="1"/>
  <c r="K16" i="43" a="1"/>
  <c r="H17" i="43"/>
  <c r="K17" i="43" l="1"/>
  <c r="J17" i="43"/>
  <c r="G17" i="43"/>
  <c r="I17" i="43" s="1"/>
  <c r="K16" i="43"/>
  <c r="B254" i="24"/>
  <c r="B186" i="24"/>
  <c r="P186" i="24"/>
  <c r="B76" i="24"/>
  <c r="B41" i="24"/>
  <c r="M41" i="24" a="1"/>
  <c r="M41" i="24" s="1"/>
  <c r="N41" i="24" a="1"/>
  <c r="N41" i="24" s="1"/>
  <c r="B133" i="24"/>
  <c r="J16" i="43" a="1"/>
  <c r="G16" i="43" a="1"/>
  <c r="H41" i="24"/>
  <c r="J41" i="24" l="1"/>
  <c r="G16" i="43"/>
  <c r="I16" i="43" s="1"/>
  <c r="J16" i="43"/>
  <c r="L16" i="43" s="1"/>
  <c r="L17" i="43"/>
  <c r="B198" i="24" l="1"/>
  <c r="P198" i="24"/>
  <c r="B199" i="24"/>
  <c r="P199" i="24"/>
  <c r="B200" i="24"/>
  <c r="P200" i="24"/>
  <c r="B143" i="24"/>
  <c r="B82" i="24"/>
  <c r="B47" i="24"/>
  <c r="M47" i="24" a="1"/>
  <c r="M47" i="24" s="1"/>
  <c r="N47" i="24" a="1"/>
  <c r="N47" i="24" s="1"/>
  <c r="B46" i="24"/>
  <c r="H47" i="24"/>
  <c r="J47"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G15" i="43" a="1"/>
  <c r="K15" i="43" a="1"/>
  <c r="G15" i="43" l="1"/>
  <c r="K15" i="43"/>
  <c r="M23" i="24" a="1"/>
  <c r="M23" i="24" s="1"/>
  <c r="B103" i="24"/>
  <c r="B104" i="24"/>
  <c r="B24" i="24"/>
  <c r="B21" i="24"/>
  <c r="B22" i="24"/>
  <c r="B26" i="24"/>
  <c r="B27" i="24"/>
  <c r="B28" i="24"/>
  <c r="B29" i="24"/>
  <c r="B30" i="24"/>
  <c r="B23" i="24"/>
  <c r="B32" i="24"/>
  <c r="B33" i="24"/>
  <c r="B34" i="24"/>
  <c r="B37" i="24"/>
  <c r="B42" i="24"/>
  <c r="B43" i="24"/>
  <c r="B44" i="24"/>
  <c r="B45" i="24"/>
  <c r="B48" i="24"/>
  <c r="B49" i="24"/>
  <c r="B50" i="24"/>
  <c r="B51" i="24"/>
  <c r="B25" i="24"/>
  <c r="B155" i="24"/>
  <c r="P155" i="24"/>
  <c r="B96" i="24"/>
  <c r="B97" i="24"/>
  <c r="B98" i="24"/>
  <c r="B58" i="24"/>
  <c r="N23" i="24" a="1"/>
  <c r="N23" i="24" s="1"/>
  <c r="H23" i="24"/>
  <c r="H15" i="43"/>
  <c r="J15" i="43" a="1"/>
  <c r="J23" i="24" l="1"/>
  <c r="I15" i="43"/>
  <c r="J15" i="43"/>
  <c r="L15" i="43" s="1"/>
  <c r="B235" i="24"/>
  <c r="B232" i="24"/>
  <c r="B161" i="24"/>
  <c r="P161" i="24"/>
  <c r="B160" i="24"/>
  <c r="P160" i="24"/>
  <c r="B101" i="24"/>
  <c r="B60" i="24"/>
  <c r="H25" i="24"/>
  <c r="C4" i="24"/>
  <c r="J25" i="24" l="1"/>
  <c r="M25" i="24" a="1"/>
  <c r="M25" i="24" s="1"/>
  <c r="N25" i="24" a="1"/>
  <c r="N25" i="24" s="1"/>
  <c r="M37" i="24" a="1"/>
  <c r="M37" i="24" s="1"/>
  <c r="N37" i="24" a="1"/>
  <c r="N37" i="24" s="1"/>
  <c r="M24" i="24" a="1"/>
  <c r="M24" i="24" s="1"/>
  <c r="N24" i="24" a="1"/>
  <c r="N24" i="24" s="1"/>
  <c r="P156" i="24"/>
  <c r="P157" i="24"/>
  <c r="P158" i="24"/>
  <c r="P159" i="24"/>
  <c r="B156" i="24"/>
  <c r="B157" i="24"/>
  <c r="B158" i="24"/>
  <c r="B159" i="24"/>
  <c r="B100" i="24"/>
  <c r="B99" i="24"/>
  <c r="B59" i="24"/>
  <c r="B162" i="24"/>
  <c r="P162" i="24"/>
  <c r="B102" i="24"/>
  <c r="B61" i="24"/>
  <c r="B72" i="24"/>
  <c r="B124" i="24"/>
  <c r="B175" i="24"/>
  <c r="P175" i="24"/>
  <c r="M26" i="24" a="1"/>
  <c r="M26" i="24" s="1"/>
  <c r="N26" i="24" a="1"/>
  <c r="N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4" i="43" a="1"/>
  <c r="H24" i="24"/>
  <c r="H26" i="24"/>
  <c r="H37" i="24"/>
  <c r="G14" i="43" a="1"/>
  <c r="J37" i="24" l="1"/>
  <c r="J26" i="24"/>
  <c r="J24" i="24"/>
  <c r="G14" i="43"/>
  <c r="K14" i="43"/>
  <c r="J14" i="43" a="1"/>
  <c r="H14" i="43"/>
  <c r="I14" i="43" l="1"/>
  <c r="J14" i="43"/>
  <c r="L14" i="43" s="1"/>
  <c r="N50" i="24" a="1"/>
  <c r="N50" i="24" s="1"/>
  <c r="M50" i="24" a="1"/>
  <c r="M50" i="24" s="1"/>
  <c r="B302" i="24"/>
  <c r="B205" i="24"/>
  <c r="P205" i="24"/>
  <c r="B146" i="24"/>
  <c r="B85" i="24"/>
  <c r="H50" i="24"/>
  <c r="J50" i="24" l="1"/>
  <c r="N33" i="24" a="1"/>
  <c r="N33" i="24" s="1"/>
  <c r="N34" i="24" a="1"/>
  <c r="N34" i="24" s="1"/>
  <c r="N42" i="24" a="1"/>
  <c r="N42" i="24" s="1"/>
  <c r="N43" i="24" a="1"/>
  <c r="N43" i="24" s="1"/>
  <c r="N44" i="24" a="1"/>
  <c r="N44" i="24" s="1"/>
  <c r="N45" i="24" a="1"/>
  <c r="N45" i="24" s="1"/>
  <c r="N46" i="24" a="1"/>
  <c r="N46" i="24" s="1"/>
  <c r="N48" i="24" a="1"/>
  <c r="N48" i="24" s="1"/>
  <c r="N49" i="24" a="1"/>
  <c r="N49" i="24" s="1"/>
  <c r="N51" i="24" a="1"/>
  <c r="N51" i="24" s="1"/>
  <c r="M33" i="24" a="1"/>
  <c r="M33" i="24" s="1"/>
  <c r="B303" i="24"/>
  <c r="B170" i="24"/>
  <c r="P170" i="24"/>
  <c r="B119" i="24"/>
  <c r="B68" i="24"/>
  <c r="H33" i="24"/>
  <c r="J33" i="24" l="1"/>
  <c r="B13" i="43"/>
  <c r="F13" i="43"/>
  <c r="H317" i="24"/>
  <c r="H318" i="24"/>
  <c r="B318" i="24"/>
  <c r="B317" i="24"/>
  <c r="B316" i="24"/>
  <c r="B315" i="24"/>
  <c r="C3" i="24"/>
  <c r="C11" i="24"/>
  <c r="C7" i="24"/>
  <c r="C10" i="24"/>
  <c r="C8" i="24"/>
  <c r="C6" i="24"/>
  <c r="K13" i="43" a="1"/>
  <c r="C12" i="24"/>
  <c r="C9" i="24"/>
  <c r="G13" i="43" a="1"/>
  <c r="K13" i="43" l="1"/>
  <c r="G13" i="43"/>
  <c r="H13" i="43"/>
  <c r="C2" i="24"/>
  <c r="J13" i="43" a="1"/>
  <c r="I13" i="43" l="1"/>
  <c r="J13" i="43"/>
  <c r="L13" i="43" s="1"/>
  <c r="B244" i="24" l="1"/>
  <c r="B154" i="24"/>
  <c r="P154" i="24"/>
  <c r="B57" i="24"/>
  <c r="B95" i="24"/>
  <c r="M22" i="24" a="1"/>
  <c r="M22" i="24" s="1"/>
  <c r="N22" i="24" a="1"/>
  <c r="N22" i="24" s="1"/>
  <c r="H22" i="24"/>
  <c r="J22" i="24" l="1"/>
  <c r="B81" i="24"/>
  <c r="B223" i="24"/>
  <c r="B234" i="24"/>
  <c r="B196" i="24"/>
  <c r="B195" i="24"/>
  <c r="P196" i="24"/>
  <c r="P195" i="24"/>
  <c r="B242" i="24"/>
  <c r="B241" i="24"/>
  <c r="B243" i="24"/>
  <c r="B197" i="24"/>
  <c r="P197" i="24"/>
  <c r="M46" i="24" a="1"/>
  <c r="M46" i="24" s="1"/>
  <c r="B142" i="24"/>
  <c r="H46" i="24"/>
  <c r="J46" i="24" l="1"/>
  <c r="P203" i="24"/>
  <c r="N21" i="24" l="1" a="1"/>
  <c r="N21" i="24" s="1"/>
  <c r="N27" i="24" a="1"/>
  <c r="N27" i="24" s="1"/>
  <c r="N28" i="24" a="1"/>
  <c r="N28" i="24" s="1"/>
  <c r="N30" i="24" a="1"/>
  <c r="N30" i="24" s="1"/>
  <c r="N29" i="24" a="1"/>
  <c r="N29" i="24" s="1"/>
  <c r="N32" i="24" a="1"/>
  <c r="N32" i="24" s="1"/>
  <c r="M21" i="24" a="1"/>
  <c r="M21" i="24" s="1"/>
  <c r="M27" i="24" a="1"/>
  <c r="M27" i="24" s="1"/>
  <c r="M28" i="24" a="1"/>
  <c r="M28" i="24" s="1"/>
  <c r="M30" i="24" a="1"/>
  <c r="M30" i="24" s="1"/>
  <c r="M29" i="24" a="1"/>
  <c r="M29" i="24" s="1"/>
  <c r="M32" i="24" a="1"/>
  <c r="M32" i="24" s="1"/>
  <c r="M34" i="24" a="1"/>
  <c r="M34" i="24" s="1"/>
  <c r="M42" i="24" a="1"/>
  <c r="M42" i="24" s="1"/>
  <c r="M43" i="24" a="1"/>
  <c r="M43" i="24" s="1"/>
  <c r="M44" i="24" a="1"/>
  <c r="M44" i="24" s="1"/>
  <c r="M45" i="24" a="1"/>
  <c r="M45" i="24" s="1"/>
  <c r="M48" i="24" a="1"/>
  <c r="M48" i="24" s="1"/>
  <c r="M49" i="24" a="1"/>
  <c r="M49" i="24" s="1"/>
  <c r="M51" i="24" a="1"/>
  <c r="M51" i="24" s="1"/>
  <c r="B12" i="43" l="1"/>
  <c r="F12" i="43"/>
  <c r="K12" i="43" a="1"/>
  <c r="J12" i="43" a="1"/>
  <c r="J12" i="43" l="1"/>
  <c r="K12" i="43"/>
  <c r="B304" i="24"/>
  <c r="B305" i="24"/>
  <c r="B306" i="24"/>
  <c r="B307" i="24"/>
  <c r="B308" i="24"/>
  <c r="B309" i="24"/>
  <c r="G12" i="43" a="1"/>
  <c r="G12" i="43" l="1"/>
  <c r="L12" i="43"/>
  <c r="B94" i="24" l="1"/>
  <c r="B11" i="43"/>
  <c r="F11" i="43"/>
  <c r="B263" i="24"/>
  <c r="B262" i="24"/>
  <c r="B261" i="24"/>
  <c r="J11" i="43" a="1"/>
  <c r="K11" i="43" a="1"/>
  <c r="J11" i="43" l="1"/>
  <c r="M11" i="43" s="1"/>
  <c r="K11" i="43"/>
  <c r="B218" i="24"/>
  <c r="B240" i="24"/>
  <c r="B246" i="24"/>
  <c r="B231" i="24"/>
  <c r="G11" i="43" a="1"/>
  <c r="H11" i="43"/>
  <c r="G11" i="43" l="1"/>
  <c r="I11" i="43" s="1"/>
  <c r="L11" i="43"/>
  <c r="B10" i="43"/>
  <c r="F10" i="43"/>
  <c r="B9" i="43"/>
  <c r="F9" i="43"/>
  <c r="B64" i="24"/>
  <c r="B67" i="24"/>
  <c r="B69" i="24"/>
  <c r="B77" i="24"/>
  <c r="B78" i="24"/>
  <c r="B79" i="24"/>
  <c r="B80" i="24"/>
  <c r="B83" i="24"/>
  <c r="B84" i="24"/>
  <c r="B86" i="24"/>
  <c r="B220" i="24"/>
  <c r="H29" i="24"/>
  <c r="H34" i="24"/>
  <c r="H30" i="24"/>
  <c r="H44" i="24"/>
  <c r="H28" i="24"/>
  <c r="G10" i="43" a="1"/>
  <c r="H27" i="24"/>
  <c r="H21" i="24"/>
  <c r="H48" i="24"/>
  <c r="K10" i="43" a="1"/>
  <c r="H51" i="24"/>
  <c r="H49" i="24"/>
  <c r="K9" i="43" a="1"/>
  <c r="H42" i="24"/>
  <c r="H45" i="24"/>
  <c r="H32" i="24"/>
  <c r="C5" i="24"/>
  <c r="H43" i="24"/>
  <c r="J9" i="43" a="1"/>
  <c r="J27" i="24" l="1"/>
  <c r="J42" i="24"/>
  <c r="J32" i="24"/>
  <c r="J49" i="24"/>
  <c r="J44" i="24"/>
  <c r="J28" i="24"/>
  <c r="J48" i="24"/>
  <c r="J34" i="24"/>
  <c r="J43" i="24"/>
  <c r="J45" i="24"/>
  <c r="J21" i="24"/>
  <c r="J51" i="24"/>
  <c r="J30" i="24"/>
  <c r="J29" i="24"/>
  <c r="K10" i="43"/>
  <c r="G10" i="43"/>
  <c r="K9" i="43"/>
  <c r="J9" i="43"/>
  <c r="J10" i="43" a="1"/>
  <c r="G9" i="43" a="1"/>
  <c r="G9" i="43" l="1"/>
  <c r="L9" i="43"/>
  <c r="J10" i="43"/>
  <c r="L10" i="43" s="1"/>
  <c r="B105" i="24" l="1"/>
  <c r="B106" i="24"/>
  <c r="B107" i="24"/>
  <c r="B112" i="24"/>
  <c r="B113" i="24"/>
  <c r="B108" i="24"/>
  <c r="B109" i="24"/>
  <c r="B110" i="24"/>
  <c r="B111" i="24"/>
  <c r="B116" i="24"/>
  <c r="B117" i="24"/>
  <c r="B118" i="24"/>
  <c r="B120" i="24"/>
  <c r="B134" i="24"/>
  <c r="B135" i="24"/>
  <c r="B136" i="24"/>
  <c r="B137" i="24"/>
  <c r="B138" i="24"/>
  <c r="B139" i="24"/>
  <c r="B140" i="24"/>
  <c r="B141" i="24"/>
  <c r="B144" i="24"/>
  <c r="B145" i="24"/>
  <c r="B147" i="24"/>
  <c r="B93" i="24"/>
  <c r="G28" i="24" a="1"/>
  <c r="G26" i="24" a="1"/>
  <c r="G51" i="24" a="1"/>
  <c r="G35" i="24" a="1"/>
  <c r="G32" i="24" a="1"/>
  <c r="G37" i="24" a="1"/>
  <c r="G39" i="24" a="1"/>
  <c r="G33" i="24" a="1"/>
  <c r="G36" i="24" a="1"/>
  <c r="G42" i="24" a="1"/>
  <c r="G48" i="24" a="1"/>
  <c r="G30" i="24" a="1"/>
  <c r="G45" i="24" a="1"/>
  <c r="G22" i="24" a="1"/>
  <c r="G24" i="24" a="1"/>
  <c r="G41" i="24" a="1"/>
  <c r="G21" i="24" a="1"/>
  <c r="G25" i="24" a="1"/>
  <c r="G47" i="24" a="1"/>
  <c r="G44" i="24" a="1"/>
  <c r="G38" i="24" a="1"/>
  <c r="G46" i="24" a="1"/>
  <c r="G43" i="24" a="1"/>
  <c r="G40" i="24" a="1"/>
  <c r="G23" i="24" a="1"/>
  <c r="G50" i="24" a="1"/>
  <c r="G29" i="24" a="1"/>
  <c r="G27" i="24" a="1"/>
  <c r="G31" i="24" a="1"/>
  <c r="G49" i="24" a="1"/>
  <c r="G34" i="24" a="1"/>
  <c r="G35" i="24" l="1"/>
  <c r="G31" i="24"/>
  <c r="G40" i="24"/>
  <c r="G36" i="24"/>
  <c r="G38" i="24"/>
  <c r="G39" i="24"/>
  <c r="G41" i="24"/>
  <c r="G47" i="24"/>
  <c r="G23" i="24"/>
  <c r="G25" i="24"/>
  <c r="G37" i="24"/>
  <c r="G24" i="24"/>
  <c r="G26" i="24"/>
  <c r="G50" i="24"/>
  <c r="G33" i="24"/>
  <c r="G22" i="24"/>
  <c r="G46" i="24"/>
  <c r="G49" i="24"/>
  <c r="G28" i="24"/>
  <c r="G34" i="24"/>
  <c r="G45" i="24"/>
  <c r="G30" i="24"/>
  <c r="G48" i="24"/>
  <c r="G51" i="24"/>
  <c r="G42" i="24"/>
  <c r="G21" i="24"/>
  <c r="G29" i="24"/>
  <c r="G43" i="24"/>
  <c r="G27" i="24"/>
  <c r="G32" i="24"/>
  <c r="G44" i="24"/>
  <c r="B8" i="43"/>
  <c r="F8" i="43"/>
  <c r="B7" i="43"/>
  <c r="F7" i="43"/>
  <c r="B6" i="43"/>
  <c r="F6" i="43"/>
  <c r="B5" i="43"/>
  <c r="F5" i="43"/>
  <c r="B239" i="24"/>
  <c r="B215" i="24"/>
  <c r="B219" i="24"/>
  <c r="B248" i="24"/>
  <c r="B245" i="24"/>
  <c r="B247" i="24"/>
  <c r="B249" i="24"/>
  <c r="F4" i="43"/>
  <c r="K5" i="43" a="1"/>
  <c r="K6" i="43" a="1"/>
  <c r="K7" i="43" a="1"/>
  <c r="K8" i="43" a="1"/>
  <c r="G5" i="43" a="1"/>
  <c r="G4" i="43" a="1"/>
  <c r="G8" i="43" a="1"/>
  <c r="G7" i="43" a="1"/>
  <c r="G6" i="43" a="1"/>
  <c r="G5" i="43" l="1"/>
  <c r="G8" i="43"/>
  <c r="K8" i="43"/>
  <c r="G7" i="43"/>
  <c r="K7" i="43"/>
  <c r="G6" i="43"/>
  <c r="K6" i="43"/>
  <c r="K5" i="43"/>
  <c r="G4" i="43"/>
  <c r="J4" i="43" a="1"/>
  <c r="J5" i="43" a="1"/>
  <c r="J8" i="43" a="1"/>
  <c r="J7" i="43" a="1"/>
  <c r="J6" i="43" a="1"/>
  <c r="J4" i="43" l="1"/>
  <c r="M4" i="43" s="1" a="1"/>
  <c r="M4" i="43" s="1"/>
  <c r="J5" i="43"/>
  <c r="M5" i="43" s="1"/>
  <c r="J8" i="43"/>
  <c r="J7" i="43"/>
  <c r="J6" i="43"/>
  <c r="L6" i="43" s="1"/>
  <c r="L5" i="43" l="1"/>
  <c r="L8" i="43"/>
  <c r="L7" i="43"/>
  <c r="P152" i="24"/>
  <c r="P153" i="24"/>
  <c r="P163" i="24"/>
  <c r="P164" i="24"/>
  <c r="P166" i="24"/>
  <c r="P167" i="24"/>
  <c r="P165" i="24"/>
  <c r="P169" i="24"/>
  <c r="P171" i="24"/>
  <c r="P187" i="24"/>
  <c r="P188" i="24"/>
  <c r="P189" i="24"/>
  <c r="P190" i="24"/>
  <c r="P191" i="24"/>
  <c r="P192" i="24"/>
  <c r="P193" i="24"/>
  <c r="P194" i="24"/>
  <c r="P201" i="24"/>
  <c r="P202" i="24"/>
  <c r="P204" i="24"/>
  <c r="P206" i="24"/>
  <c r="P207" i="24"/>
  <c r="P208" i="24"/>
  <c r="N194" i="24"/>
  <c r="L35" i="24" s="1" a="1"/>
  <c r="L35" i="24" s="1"/>
  <c r="B238" i="24"/>
  <c r="B194" i="24"/>
  <c r="B201" i="24"/>
  <c r="B165" i="24"/>
  <c r="B169" i="24"/>
  <c r="B171" i="24"/>
  <c r="B187" i="24"/>
  <c r="B188" i="24"/>
  <c r="B164" i="24"/>
  <c r="B163" i="24"/>
  <c r="L21" i="24" l="1" a="1"/>
  <c r="L21" i="24" s="1"/>
  <c r="L27" i="24" a="1"/>
  <c r="L27" i="24" s="1"/>
  <c r="L39" i="24" a="1"/>
  <c r="L39" i="24" s="1"/>
  <c r="L33" i="24" a="1"/>
  <c r="L33" i="24" s="1"/>
  <c r="L22" i="24" a="1"/>
  <c r="L22" i="24" s="1"/>
  <c r="L28" i="24" a="1"/>
  <c r="L28" i="24" s="1"/>
  <c r="L23" i="24" a="1"/>
  <c r="L23" i="24" s="1"/>
  <c r="L34" i="24" a="1"/>
  <c r="L34" i="24" s="1"/>
  <c r="L46" i="24" a="1"/>
  <c r="L46" i="24" s="1"/>
  <c r="L37" i="24" a="1"/>
  <c r="L37" i="24" s="1"/>
  <c r="L29" i="24" a="1"/>
  <c r="L29" i="24" s="1"/>
  <c r="L36" i="24" a="1"/>
  <c r="L36" i="24" s="1"/>
  <c r="L41" i="24" a="1"/>
  <c r="L41" i="24" s="1"/>
  <c r="L47" i="24" a="1"/>
  <c r="L47" i="24" s="1"/>
  <c r="L31" i="24" a="1"/>
  <c r="L31" i="24" s="1"/>
  <c r="L24" i="24" a="1"/>
  <c r="L24" i="24" s="1"/>
  <c r="L30" i="24" a="1"/>
  <c r="L30" i="24" s="1"/>
  <c r="L48" i="24" a="1"/>
  <c r="L48" i="24" s="1"/>
  <c r="L42" i="24" a="1"/>
  <c r="L42" i="24" s="1"/>
  <c r="L25" i="24" a="1"/>
  <c r="L25" i="24" s="1"/>
  <c r="L43" i="24" a="1"/>
  <c r="L43" i="24" s="1"/>
  <c r="L50" i="24" a="1"/>
  <c r="L50" i="24" s="1"/>
  <c r="L45" i="24" a="1"/>
  <c r="L45" i="24" s="1"/>
  <c r="L26" i="24" a="1"/>
  <c r="L26" i="24" s="1"/>
  <c r="L32" i="24" a="1"/>
  <c r="L32" i="24" s="1"/>
  <c r="L38" i="24" a="1"/>
  <c r="L38" i="24" s="1"/>
  <c r="L44" i="24" a="1"/>
  <c r="L44" i="24" s="1"/>
  <c r="L51" i="24" a="1"/>
  <c r="L51" i="24" s="1"/>
  <c r="L40" i="24" a="1"/>
  <c r="L40" i="24" s="1"/>
  <c r="L49" i="24" a="1"/>
  <c r="L49" i="24" s="1"/>
  <c r="B204" i="24"/>
  <c r="B202" i="24"/>
  <c r="B203" i="24"/>
  <c r="B153" i="24"/>
  <c r="B152" i="24"/>
  <c r="B227" i="24"/>
  <c r="B229" i="24"/>
  <c r="B228" i="24"/>
  <c r="H5" i="43"/>
  <c r="I5" i="43" l="1"/>
  <c r="D269" i="24" l="1"/>
  <c r="D270" i="24"/>
  <c r="B271" i="24"/>
  <c r="B270" i="24"/>
  <c r="B269" i="24"/>
  <c r="B236" i="24" l="1"/>
  <c r="B226" i="24"/>
  <c r="B214" i="24"/>
  <c r="H8" i="43"/>
  <c r="I8" i="43" l="1"/>
  <c r="B208" i="24" l="1"/>
  <c r="B206" i="24"/>
  <c r="B207" i="24"/>
  <c r="B190" i="24"/>
  <c r="B193" i="24"/>
  <c r="B189" i="24"/>
  <c r="B192" i="24"/>
  <c r="B191" i="24"/>
  <c r="B166" i="24"/>
  <c r="B167" i="24"/>
  <c r="I29" i="24" a="1"/>
  <c r="H7" i="43"/>
  <c r="I48" i="24" a="1"/>
  <c r="I25" i="24" a="1"/>
  <c r="I30" i="24" a="1"/>
  <c r="I46" i="24" a="1"/>
  <c r="I34" i="24" a="1"/>
  <c r="I33" i="24" a="1"/>
  <c r="I51" i="24" a="1"/>
  <c r="I39" i="24" a="1"/>
  <c r="I45" i="24" a="1"/>
  <c r="I42" i="24" a="1"/>
  <c r="I24" i="24" a="1"/>
  <c r="I27" i="24" a="1"/>
  <c r="I50" i="24" a="1"/>
  <c r="I36" i="24" a="1"/>
  <c r="I38" i="24" a="1"/>
  <c r="I35" i="24" a="1"/>
  <c r="I43" i="24" a="1"/>
  <c r="I22" i="24" a="1"/>
  <c r="I44" i="24" a="1"/>
  <c r="I26" i="24" a="1"/>
  <c r="I40" i="24" a="1"/>
  <c r="I41" i="24" a="1"/>
  <c r="I37" i="24" a="1"/>
  <c r="I47" i="24" a="1"/>
  <c r="I31" i="24" a="1"/>
  <c r="I28" i="24" a="1"/>
  <c r="I32" i="24" a="1"/>
  <c r="I21" i="24" a="1"/>
  <c r="I49" i="24" a="1"/>
  <c r="I35" i="24" l="1"/>
  <c r="I31" i="24"/>
  <c r="I40" i="24"/>
  <c r="I36" i="24"/>
  <c r="I38" i="24"/>
  <c r="I39" i="24"/>
  <c r="I41" i="24"/>
  <c r="I47" i="24"/>
  <c r="I25" i="24"/>
  <c r="I37" i="24"/>
  <c r="I24" i="24"/>
  <c r="I26" i="24"/>
  <c r="I50" i="24"/>
  <c r="I33" i="24"/>
  <c r="I22" i="24"/>
  <c r="I46" i="24"/>
  <c r="I42" i="24"/>
  <c r="I30" i="24"/>
  <c r="I45" i="24"/>
  <c r="I28" i="24"/>
  <c r="I48" i="24"/>
  <c r="I34" i="24"/>
  <c r="I51" i="24"/>
  <c r="I27" i="24"/>
  <c r="I49" i="24"/>
  <c r="I44" i="24"/>
  <c r="I32" i="24"/>
  <c r="I43" i="24"/>
  <c r="I29" i="24"/>
  <c r="I21" i="24"/>
  <c r="I7" i="43"/>
  <c r="I23" i="24" a="1"/>
  <c r="I23" i="24" l="1"/>
  <c r="B4" i="43"/>
  <c r="K4" i="43" a="1"/>
  <c r="K4" i="43" l="1"/>
  <c r="L4" i="43" s="1"/>
  <c r="B56" i="24"/>
  <c r="B62" i="24"/>
  <c r="B63" i="24"/>
  <c r="B65" i="24"/>
  <c r="B289" i="24"/>
  <c r="B290" i="24"/>
  <c r="B296" i="24"/>
  <c r="B297" i="24"/>
  <c r="B298" i="24"/>
  <c r="B299" i="24"/>
  <c r="B300" i="24"/>
  <c r="B301" i="24"/>
  <c r="B324" i="24"/>
  <c r="B325" i="24"/>
  <c r="B326" i="24"/>
  <c r="B327" i="24"/>
  <c r="B328" i="24"/>
  <c r="B329" i="24"/>
  <c r="B330" i="24"/>
  <c r="H4" i="43"/>
  <c r="H10" i="43"/>
  <c r="H6" i="43"/>
  <c r="H12" i="43"/>
  <c r="H9"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2"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70"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13"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88"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88"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95"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14"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<sst xmlns="http://schemas.openxmlformats.org/spreadsheetml/2006/main" count="1833" uniqueCount="688">
  <si>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</si>
  <si>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</si>
  <si>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</si>
  <si>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</si>
  <si>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</si>
  <si>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</si>
  <si>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</si>
  <si>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</si>
  <si>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</si>
  <si>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</si>
  <si>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</si>
  <si>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</si>
  <si>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</si>
  <si>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</si>
  <si>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</si>
  <si>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</si>
  <si>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</si>
  <si>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</si>
  <si>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</si>
  <si>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</si>
  <si>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</si>
  <si>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</si>
  <si>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</si>
  <si>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</si>
  <si>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</si>
  <si>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</si>
  <si>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</si>
  <si>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</si>
  <si>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</si>
  <si>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</si>
  <si>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</si>
  <si>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</si>
  <si>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</si>
  <si>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</si>
  <si>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</si>
  <si>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</si>
  <si>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</si>
  <si>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</si>
  <si>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</si>
  <si>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</si>
  <si>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</si>
  <si>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</si>
  <si>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</si>
  <si>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</si>
  <si>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</si>
  <si>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</si>
  <si>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</si>
  <si>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</si>
  <si>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</si>
  <si>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</si>
  <si>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</si>
  <si>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</si>
  <si>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</si>
  <si>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</si>
  <si>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</si>
  <si>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</si>
  <si>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</si>
  <si>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</si>
  <si>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</si>
  <si>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</si>
  <si>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</si>
  <si>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</si>
  <si>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</si>
  <si>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</si>
  <si>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</si>
  <si>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</si>
  <si>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</si>
  <si>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</si>
  <si>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</si>
  <si>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</si>
  <si>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</si>
  <si>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</si>
  <si>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</si>
  <si>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</si>
  <si>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</si>
  <si>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</si>
  <si>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</si>
  <si>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</si>
  <si>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</si>
  <si>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</si>
  <si>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</si>
  <si>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</si>
  <si>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</si>
  <si>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</si>
  <si>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</si>
  <si>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</si>
  <si>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</si>
  <si>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</si>
  <si>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</si>
  <si>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</si>
  <si>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</si>
  <si>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</si>
  <si>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</si>
  <si>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</si>
  <si>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</si>
  <si>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</si>
  <si>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</si>
  <si>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</si>
  <si>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</si>
  <si>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</si>
  <si>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</si>
  <si>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</si>
  <si>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</si>
  <si>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</si>
  <si>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</si>
  <si>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</si>
  <si>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</si>
  <si>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</si>
  <si>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</si>
  <si>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</si>
  <si>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</si>
  <si>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</si>
  <si>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</si>
  <si>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</si>
  <si>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</si>
  <si>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</si>
  <si>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</si>
  <si>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</si>
  <si>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</si>
  <si>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</si>
  <si>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</si>
  <si>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</si>
  <si>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</si>
  <si>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</si>
  <si>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</si>
  <si>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</si>
  <si>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</si>
  <si>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</si>
  <si>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</si>
  <si>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</si>
  <si>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</si>
  <si>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</si>
  <si>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</si>
  <si>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</si>
  <si>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</si>
  <si>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</si>
  <si>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</si>
  <si>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</si>
  <si>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</si>
  <si>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</si>
  <si>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</si>
  <si>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</si>
  <si>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</si>
  <si>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</si>
  <si>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</si>
  <si>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</si>
  <si>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</si>
  <si>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</si>
  <si>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</si>
  <si>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</si>
  <si>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</si>
  <si>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</si>
  <si>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</si>
  <si>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</si>
  <si>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</si>
  <si>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</si>
  <si>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</si>
  <si>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</si>
  <si>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</si>
  <si>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</si>
  <si>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</si>
  <si>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</si>
  <si>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</si>
  <si>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</si>
  <si>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</si>
  <si>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</si>
  <si>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</si>
  <si>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</si>
  <si>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</si>
  <si>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</si>
  <si>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</si>
  <si>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</si>
  <si>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</si>
  <si>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</si>
  <si>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</si>
  <si>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</si>
  <si>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</si>
  <si>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</si>
  <si>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</si>
  <si>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</si>
  <si>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</si>
  <si>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</si>
  <si>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</si>
  <si>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</si>
  <si>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</si>
  <si>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</si>
  <si>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</si>
  <si>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</si>
  <si>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</si>
  <si>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</si>
  <si>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</si>
  <si>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</si>
  <si>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</si>
  <si>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</si>
  <si>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</si>
  <si>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</si>
  <si>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</si>
  <si>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</si>
  <si>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</si>
  <si>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</si>
  <si>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</si>
  <si>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</si>
  <si>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</si>
  <si>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</si>
  <si>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</si>
  <si>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</si>
  <si>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</si>
  <si>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</si>
  <si>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</si>
  <si>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</si>
  <si>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</si>
  <si>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</si>
  <si>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</si>
  <si>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</si>
  <si>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</si>
  <si>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</si>
  <si>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</si>
  <si>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</si>
  <si>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</si>
  <si>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</si>
  <si>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</si>
  <si>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</si>
  <si>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</si>
  <si>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</si>
  <si>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</si>
  <si>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</si>
  <si>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</si>
  <si>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</si>
  <si>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</si>
  <si>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</si>
  <si>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</si>
  <si>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</si>
  <si>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</si>
  <si>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</si>
  <si>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</si>
  <si>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</si>
  <si>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</si>
  <si>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</si>
  <si>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</si>
  <si>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</si>
  <si>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</si>
  <si>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</si>
  <si>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</si>
  <si>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</si>
  <si>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</si>
  <si>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</si>
  <si>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</si>
  <si>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</si>
  <si>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</si>
  <si>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</si>
  <si>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</si>
  <si>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</si>
  <si>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</si>
  <si>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</si>
  <si>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</si>
  <si>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</si>
  <si>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</si>
  <si>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</si>
  <si>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</si>
  <si>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</si>
  <si>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</si>
  <si>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</si>
  <si>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</si>
  <si>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</si>
  <si>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</si>
  <si>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</si>
  <si>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</si>
  <si>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</si>
  <si>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</si>
  <si>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</si>
  <si>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</si>
  <si>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</si>
  <si>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</si>
  <si>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</si>
  <si>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</si>
  <si>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</si>
  <si>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</si>
  <si>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</si>
  <si>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</si>
  <si>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</si>
  <si>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</si>
  <si>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</si>
  <si>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</si>
  <si>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</si>
  <si>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</si>
  <si>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</si>
  <si>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</si>
  <si>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</si>
  <si>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</si>
  <si>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</si>
  <si>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</si>
  <si>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</si>
  <si>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</si>
  <si>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</si>
  <si>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</si>
  <si>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</si>
  <si>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</si>
  <si>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</si>
  <si>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</si>
  <si>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</si>
  <si>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</si>
  <si>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</si>
  <si>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</si>
  <si>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</si>
  <si>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</si>
  <si>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</si>
  <si>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</si>
  <si>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</si>
  <si>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</si>
  <si>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</si>
  <si>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</si>
  <si>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</si>
  <si>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</si>
  <si>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</si>
  <si>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</si>
  <si>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</si>
  <si>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</si>
  <si>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</si>
  <si>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</si>
  <si>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</si>
  <si>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</si>
  <si>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</si>
  <si>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</si>
  <si>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</si>
  <si>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</si>
  <si>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</si>
  <si>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</si>
  <si>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</si>
  <si>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</si>
  <si>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</si>
  <si>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</si>
  <si>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</si>
  <si>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</si>
  <si>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</si>
  <si>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</si>
  <si>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</si>
  <si>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</si>
  <si>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</si>
  <si>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</si>
  <si>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</si>
  <si>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</si>
  <si>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</si>
  <si>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</si>
  <si>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</si>
  <si>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</si>
  <si>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</si>
  <si>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</si>
  <si>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</si>
  <si>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</si>
  <si>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</si>
  <si>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</si>
  <si>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</si>
  <si>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</si>
  <si>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</si>
  <si>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</si>
  <si>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</si>
  <si>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</si>
  <si>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</si>
  <si>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</si>
  <si>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</si>
  <si>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</si>
  <si>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</si>
  <si>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</si>
  <si>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</si>
  <si>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</si>
  <si>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</si>
  <si>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</si>
  <si>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</si>
  <si>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</si>
  <si>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</si>
  <si>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</si>
  <si>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</si>
  <si>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</si>
  <si>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</si>
  <si>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</si>
  <si>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</si>
  <si>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</si>
  <si>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</si>
  <si>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</si>
  <si>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</si>
  <si>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</si>
  <si>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</si>
  <si>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</si>
  <si>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</si>
  <si>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</si>
  <si>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</si>
  <si>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</si>
  <si>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</si>
  <si>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</si>
  <si>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</si>
  <si>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</si>
  <si>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</si>
  <si>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</si>
  <si>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</si>
  <si>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</si>
  <si>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</si>
  <si>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</si>
  <si>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</si>
  <si>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</si>
  <si>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</si>
  <si>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</si>
  <si>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</si>
  <si>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</si>
  <si>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</si>
  <si>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</si>
  <si>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</si>
  <si>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</si>
  <si>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</si>
  <si>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</si>
  <si>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</si>
  <si>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</si>
  <si>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</si>
  <si>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</si>
  <si>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</si>
  <si>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</si>
  <si>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</si>
  <si>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</si>
  <si>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</si>
  <si>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</si>
  <si>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</si>
  <si>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</si>
  <si>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</si>
  <si>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</si>
  <si>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</si>
  <si>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</si>
  <si>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</si>
  <si>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</si>
  <si>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</si>
  <si>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</si>
  <si>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</si>
  <si>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</si>
  <si>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</si>
  <si>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</si>
  <si>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</si>
  <si>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</si>
  <si>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</si>
  <si>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</si>
  <si>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</si>
  <si>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</si>
  <si>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</si>
  <si>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</si>
  <si>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</si>
  <si>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</si>
  <si>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</si>
  <si>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</si>
  <si>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</si>
  <si>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</si>
  <si>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</si>
  <si>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</si>
  <si>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</si>
  <si>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</si>
  <si>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</si>
  <si>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</si>
  <si>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</si>
  <si>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</si>
  <si>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</si>
  <si>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</si>
  <si>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</si>
  <si>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</si>
  <si>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</si>
  <si>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</si>
  <si>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</si>
  <si>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</si>
  <si>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</si>
  <si>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</si>
  <si>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</si>
  <si>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</si>
  <si>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</si>
  <si>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</si>
  <si>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</si>
  <si>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</si>
  <si>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</si>
  <si>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</si>
  <si>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</si>
  <si>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</si>
  <si>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</si>
  <si>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</si>
  <si>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</si>
  <si>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</si>
  <si>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</si>
  <si>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</si>
  <si>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</si>
  <si>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</si>
  <si>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</si>
  <si>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</si>
  <si>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</si>
  <si>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</si>
  <si>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</si>
  <si>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</si>
  <si>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</si>
  <si>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</si>
  <si>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</si>
  <si>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</si>
  <si>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</si>
  <si>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</si>
  <si>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</si>
  <si>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</si>
  <si>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</si>
  <si>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</si>
  <si>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</si>
  <si>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</si>
  <si>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</si>
  <si>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</si>
  <si>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</si>
  <si>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</si>
  <si>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</si>
  <si>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</si>
  <si>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</si>
  <si>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</si>
  <si>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</si>
  <si>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</si>
  <si>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</si>
  <si>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</si>
  <si>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</si>
  <si>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</si>
  <si>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</si>
  <si>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</si>
  <si>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</si>
  <si>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</si>
  <si>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</si>
  <si>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</si>
  <si>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</si>
  <si>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</si>
  <si>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</si>
  <si>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</si>
  <si>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</si>
  <si>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</si>
  <si>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</si>
  <si>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</si>
  <si>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</si>
  <si>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</si>
  <si>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</si>
  <si>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</si>
  <si>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</si>
  <si>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</si>
  <si>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</si>
  <si>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</si>
  <si>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</si>
  <si>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</si>
  <si>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</si>
  <si>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</si>
  <si>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</si>
  <si>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</si>
  <si>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</si>
  <si>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</si>
  <si>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</si>
  <si>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</si>
  <si>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</si>
  <si>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</si>
  <si>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</si>
  <si>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</si>
  <si>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</si>
  <si>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</si>
  <si>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</si>
  <si>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</si>
  <si>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</si>
  <si>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</si>
  <si>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</si>
  <si>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</si>
  <si>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</si>
  <si>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</si>
  <si>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</si>
  <si>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</si>
  <si>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</si>
  <si>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</si>
  <si>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</si>
  <si>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</si>
  <si>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</si>
  <si>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</si>
  <si>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</si>
  <si>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</si>
  <si>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</si>
  <si>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</si>
  <si>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</si>
  <si>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</si>
  <si>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</si>
  <si>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</si>
  <si>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</si>
  <si>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</si>
  <si>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</si>
  <si>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</si>
  <si>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</si>
  <si>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</si>
  <si>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</si>
  <si>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</si>
  <si>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</si>
  <si>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</si>
  <si>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</si>
  <si>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</si>
  <si>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</si>
  <si>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</si>
  <si>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</si>
  <si>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</si>
  <si>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</si>
  <si>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</si>
  <si>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</si>
  <si>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</si>
  <si>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</si>
  <si>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</si>
  <si>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</si>
  <si>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</si>
  <si>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</si>
  <si>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</si>
  <si>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</si>
  <si>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</si>
  <si>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</si>
  <si>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</si>
  <si>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</si>
  <si>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</si>
  <si>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</si>
  <si>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</si>
  <si>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</si>
  <si>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</si>
  <si>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</si>
  <si>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</si>
  <si>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</si>
  <si>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</si>
  <si>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</si>
  <si>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</si>
  <si>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</si>
  <si>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</si>
  <si>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</si>
  <si>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</si>
  <si>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</si>
  <si>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</si>
  <si>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</si>
  <si>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</si>
  <si>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</si>
  <si>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</si>
  <si>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</si>
  <si>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</si>
  <si>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</si>
  <si>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</si>
  <si>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</si>
  <si>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</si>
  <si>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</si>
  <si>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</si>
  <si>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</si>
  <si>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</si>
  <si>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</si>
  <si>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</si>
  <si>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</si>
  <si>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</si>
  <si>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</si>
  <si>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</si>
  <si>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</si>
  <si>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</si>
  <si>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</si>
  <si>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</si>
  <si>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</si>
  <si>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</si>
  <si>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</si>
  <si>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</si>
  <si>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</si>
  <si>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</si>
  <si>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</si>
  <si>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</si>
  <si>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</si>
  <si>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</si>
  <si>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</si>
  <si>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</si>
  <si>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</si>
  <si>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</si>
  <si>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</si>
  <si>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</si>
  <si>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</si>
  <si>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</si>
  <si>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</si>
  <si>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</si>
  <si>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</si>
  <si>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</si>
  <si>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</si>
  <si>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</si>
  <si>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</si>
  <si>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</si>
  <si>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</si>
  <si>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</si>
  <si>
    <t>LearningLoss</t>
  </si>
  <si>
    <t>Learning Loss</t>
  </si>
  <si>
    <t>ProactiveAdaptation</t>
  </si>
  <si>
    <t>LostFutureEarnings</t>
  </si>
  <si>
    <t>AdaptationCost</t>
  </si>
  <si>
    <t>Lost Future Earnings</t>
  </si>
  <si>
    <t>Adaptation Costs</t>
  </si>
  <si>
    <t>Lost future earnings of high school students</t>
  </si>
  <si>
    <t>loss_Pop1417</t>
  </si>
  <si>
    <t>Learning Loss 14-17 Population Proportion Adjustment Factor</t>
  </si>
  <si>
    <t>A.C. purchase and O&amp;M costs to school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</si>
</sst>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2">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46" borderId="0" xfId="0" applyFont="1" applyFill="1" applyAlignment="1">
      <alignment horizontal="center" vertical="center" wrapText="1"/>
    </xf>
    <xf numFmtId="0" fontId="17" fillId="8" borderId="0" xfId="0"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0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00"/>
    </tableStyle>
    <tableStyle name="Table Style 2" pivot="0" count="2" xr9:uid="{5906E8DD-1157-4888-9A27-3B2DB57DF7A2}">
      <tableStyleElement type="wholeTable" dxfId="199"/>
      <tableStyleElement type="headerRow" dxfId="198"/>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7">
  <autoFilter ref="B9:C34" xr:uid="{DBDF25E7-D35C-4344-9B72-491345FCBF34}"/>
  <tableColumns count="2">
    <tableColumn id="1" xr3:uid="{306AD3FA-EE0B-4D9C-828A-C0B76198AE0B}" name="Worksheet" dataDxfId="196"/>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5" dataDxfId="194">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3">
      <calculatedColumnFormula xml:space="preserve"> ROW( doc_tablesList[[#This Row],[ID]] ) - ROW(doc_tablesList[[#Headers],[ID]] )</calculatedColumnFormula>
    </tableColumn>
    <tableColumn id="2" xr3:uid="{238E4D6F-DBDF-41A4-8350-E77587A7D4B3}" name="Table Name" dataDxfId="192"/>
    <tableColumn id="8" xr3:uid="{D46F7497-B3FD-485E-91E8-C8117D6673FA}" name="Import" dataDxfId="191"/>
    <tableColumn id="3" xr3:uid="{39F2BFBD-30E6-473D-B9E5-9F407D5928C3}" name="Worksheet" dataDxfId="190"/>
    <tableColumn id="9" xr3:uid="{507E67A6-0C2B-4342-A04B-6A8E615993E3}" name="ID_columnName" dataDxfId="189">
      <calculatedColumnFormula xml:space="preserve"> "row_id"</calculatedColumnFormula>
    </tableColumn>
    <tableColumn id="4" xr3:uid="{961C935C-163D-4860-BA16-6CB492916203}" name="Header Row" dataDxfId="18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7">
      <calculatedColumnFormula xml:space="preserve"> MAX( INDIRECT( _xlfn.TEXTJOIN( "", , doc_tablesList[[#This Row],[Table Name]], "[", doc_tablesList[[#This Row],[ID_columnName]], "]" ) ) )</calculatedColumnFormula>
    </tableColumn>
    <tableColumn id="13" xr3:uid="{F53E64F1-7445-4927-A376-2FB765265648}" name="Last Row" dataDxfId="186">
      <calculatedColumnFormula xml:space="preserve"> doc_tablesList[[#This Row],[Number of Data Rows]] + doc_tablesList[[#This Row],[Header Row]]</calculatedColumnFormula>
    </tableColumn>
    <tableColumn id="6" xr3:uid="{86A51CF5-A3BA-4019-9C90-7A94C7FBA534}" name="id_colIndex" dataDxfId="185">
      <calculatedColumnFormula array="1" xml:space="preserve"> INDEX( COLUMN( INDIRECT( doc_tablesList[[#This Row],[Table Name]] &amp; "[" &amp; doc_tablesList[[#This Row],[ID_columnName]] &amp; "]" ) ), 1 )</calculatedColumnFormula>
    </tableColumn>
    <tableColumn id="7" xr3:uid="{DD29767F-0B22-4C97-9012-467EF6380323}" name="last_colIndex" dataDxfId="184">
      <calculatedColumnFormula array="1" xml:space="preserve"> MAX( COLUMN( INDIRECT( doc_tablesList[[#This Row],[Table Name]] ) ) )</calculatedColumnFormula>
    </tableColumn>
    <tableColumn id="12" xr3:uid="{7F09C7E5-85E6-4334-8C65-926F0EE13A13}" name="num_tableCols" dataDxfId="183">
      <calculatedColumnFormula xml:space="preserve"> doc_tablesList[[#This Row],[last_colIndex]] - doc_tablesList[[#This Row],[id_colIndex]] + 1</calculatedColumnFormula>
    </tableColumn>
    <tableColumn id="11" xr3:uid="{C4016964-772D-4CB1-A4CA-7E815387BA94}" name="excludeCol_ids" dataDxfId="182"/>
    <tableColumn id="10" xr3:uid="{1AD286DF-FF1E-4EA7-92C2-04966DE58B94}" name="Notes" dataDxfId="18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51" totalsRowShown="0" headerRowDxfId="180" dataDxfId="178" headerRowBorderDxfId="179" tableBorderDxfId="177" totalsRowBorderDxfId="176">
  <autoFilter ref="B20:O51" xr:uid="{4FB08D13-3C4C-4BB6-9ED3-E44A55D938B0}"/>
  <sortState xmlns:xlrd2="http://schemas.microsoft.com/office/spreadsheetml/2017/richdata2" ref="B21:O51">
    <sortCondition ref="D21:D51"/>
  </sortState>
  <tableColumns count="14">
    <tableColumn id="14" xr3:uid="{60C3EA8F-72E0-495B-8B73-6D682443C60B}" name="row_id" dataDxfId="175" totalsRowDxfId="174">
      <calculatedColumnFormula xml:space="preserve"> ROW( co_sectors[[#This Row],[row_id]] ) - ROW( co_sectors[[#Headers],[row_id]] )</calculatedColumnFormula>
    </tableColumn>
    <tableColumn id="1" xr3:uid="{05E901B8-39C9-4448-8C69-F1824616C5B3}" name="sector_id" dataDxfId="173" totalsRowDxfId="172"/>
    <tableColumn id="2" xr3:uid="{8435BE36-75E6-4124-BCAF-A700C82839D8}" name="sector_label" dataDxfId="171" totalsRowDxfId="170"/>
    <tableColumn id="6" xr3:uid="{2BB914B0-56FF-4336-B8AD-DDDF5E8FE532}" name="include" dataDxfId="169" totalsRowDxfId="168"/>
    <tableColumn id="8" xr3:uid="{18B4827C-060D-4556-903A-BB8A82781CB7}" name="modelType" dataDxfId="167" totalsRowDxfId="166"/>
    <tableColumn id="4" xr3:uid="{60EA29EE-87DF-48ED-AC00-5DE87371BD83}" name="variants" dataDxfId="165" totalsRowDxfId="16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63" totalsRowDxfId="16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61"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9" totalsRowDxfId="158">
      <calculatedColumnFormula xml:space="preserve"> IF( co_sectors[[#This Row],[impactYears]] = "NA", 0, 1)</calculatedColumnFormula>
    </tableColumn>
    <tableColumn id="3" xr3:uid="{131F4380-0D81-4321-BEC8-8F7D57B7E216}" name="hasPhysicalImpacts" dataDxfId="157" totalsRowDxfId="156">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55" totalsRowDxfId="154">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88:L290"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23:D330"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95:F309"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5:F86" totalsRowShown="0" headerRowDxfId="122" dataDxfId="121">
  <autoFilter ref="B55:F86" xr:uid="{965CD6B2-887D-46C8-9D98-6C6AECBC7B1A}"/>
  <sortState xmlns:xlrd2="http://schemas.microsoft.com/office/spreadsheetml/2017/richdata2" ref="B56:F86">
    <sortCondition ref="C56:C86"/>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51:P208" totalsRowShown="0" headerRowDxfId="110" dataDxfId="109">
  <autoFilter ref="B151:P208" xr:uid="{E446364F-959A-4BFF-80B5-CD65050C4865}"/>
  <sortState xmlns:xlrd2="http://schemas.microsoft.com/office/spreadsheetml/2017/richdata2" ref="B152:P208">
    <sortCondition ref="C152:C208"/>
    <sortCondition ref="D152:D208"/>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13:J255" totalsRowShown="0" headerRowDxfId="93" dataDxfId="92">
  <autoFilter ref="B213:J255" xr:uid="{7F79E836-A486-4549-B875-6F873C0BCABB}"/>
  <sortState xmlns:xlrd2="http://schemas.microsoft.com/office/spreadsheetml/2017/richdata2" ref="B214:J249">
    <sortCondition ref="E214:E249"/>
    <sortCondition ref="C214:C249"/>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68:D271"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2:I147" totalsRowShown="0" headerRowDxfId="77" dataDxfId="76">
  <sortState xmlns:xlrd2="http://schemas.microsoft.com/office/spreadsheetml/2017/richdata2" ref="B93:I147">
    <sortCondition ref="C93:C147"/>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60:E263"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14:J318"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35:F384" totalsRowShown="0" headerRowDxfId="43">
  <autoFilter ref="B335:F384"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77:J284" totalsRowShown="0" headerRowDxfId="37" dataDxfId="36">
  <tableColumns count="9">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5" xr3:uid="{6AB21964-D6DD-4BA3-BDFD-E851D5F956FF}" name="impactType"/>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5" dT="2021-01-25T18:27:33.65" personId="{00000000-0000-0000-0000-000000000000}" id="{40274E0A-9A04-480D-A5E8-2C38F8B3CAD3}">
    <text>Empty values are replaced with "NA" in the R tool.</text>
  </threadedComment>
  <threadedComment ref="E92" dT="2022-09-13T14:35:47.65" personId="{00000000-0000-0000-0000-000000000000}" id="{61FF9366-C253-4143-8900-DE7FDB924463}">
    <text>No spaces in this ID!</text>
  </threadedComment>
  <threadedComment ref="F92" dT="2021-04-02T15:18:13.84" personId="{00000000-0000-0000-0000-000000000000}" id="{7C7D377F-2B53-48B7-807A-23CFCBC48B83}">
    <text>For sectors with multiple variants, one variant is considered the "primary" variant -- e.g., as used in when aggregating across sectors.</text>
  </threadedComment>
  <threadedComment ref="G92"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70" dT="2021-04-29T18:53:19.81" personId="{00000000-0000-0000-0000-000000000000}" id="{B944EC01-36D0-40EC-99E6-BA8270B055AE}">
    <text>May add a physical scalar in the future - total regional property value</text>
  </threadedComment>
  <threadedComment ref="H170" dT="2021-04-29T18:53:45.21" personId="{00000000-0000-0000-0000-000000000000}" id="{D0F6E8CF-0610-4E7B-8A56-BC47CE157016}" parentId="{B944EC01-36D0-40EC-99E6-BA8270B055AE}">
    <text>For now keeping it without, for consistency with coastal properties</text>
  </threadedComment>
  <threadedComment ref="F21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88" dT="2021-02-11T17:01:11.40" personId="{00000000-0000-0000-0000-000000000000}" id="{74E8C379-DF77-4FAE-8C13-4D0000C68271}">
    <text>Year when change and impacts are zero</text>
  </threadedComment>
  <threadedComment ref="L288" dT="2021-02-15T18:58:52.31" personId="{00000000-0000-0000-0000-000000000000}" id="{984021BA-DD3F-4758-AAFF-698CBFB1E97F}">
    <text>Maximum value to extrapolate to, for models that go up to the maximum output value.</text>
  </threadedComment>
  <threadedComment ref="D295" dT="2023-12-08T22:41:08.83" personId="{00000000-0000-0000-0000-000000000000}" id="{A0D64BDD-1681-4C8F-9929-C1898D0603B0}">
    <text>Max extrapolation temperature</text>
  </threadedComment>
  <threadedComment ref="J314"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6" t="s">
        <v>76</v>
      </c>
      <c r="C9" s="56" t="s">
        <v>330</v>
      </c>
    </row>
    <row r="10" spans="2:3" ht="29.25" customHeight="1" x14ac:dyDescent="0.25">
      <c r="B10" s="78" t="s">
        <v>81</v>
      </c>
      <c r="C10" s="55" t="s">
        <v>333</v>
      </c>
    </row>
    <row r="11" spans="2:3" ht="32.25" customHeight="1" x14ac:dyDescent="0.25">
      <c r="B11" s="79" t="s">
        <v>242</v>
      </c>
      <c r="C11" s="77" t="s">
        <v>336</v>
      </c>
    </row>
    <row r="12" spans="2:3" ht="15" customHeight="1" collapsed="1" x14ac:dyDescent="0.25">
      <c r="B12" s="78" t="s">
        <v>169</v>
      </c>
      <c r="C12" s="55" t="s">
        <v>332</v>
      </c>
    </row>
    <row r="13" spans="2:3" ht="15" hidden="1" customHeight="1" outlineLevel="1" collapsed="1" x14ac:dyDescent="0.25">
      <c r="B13" s="78"/>
      <c r="C13" s="57" t="s">
        <v>331</v>
      </c>
    </row>
    <row r="14" spans="2:3" ht="15" hidden="1" customHeight="1" outlineLevel="1" x14ac:dyDescent="0.25">
      <c r="B14" s="79"/>
      <c r="C14" s="54" t="s">
        <v>123</v>
      </c>
    </row>
    <row r="15" spans="2:3" ht="15" hidden="1" customHeight="1" outlineLevel="1" x14ac:dyDescent="0.25">
      <c r="B15" s="79"/>
      <c r="C15" t="s">
        <v>68</v>
      </c>
    </row>
    <row r="16" spans="2:3" ht="45" hidden="1" customHeight="1" outlineLevel="1" x14ac:dyDescent="0.25">
      <c r="B16" s="79"/>
      <c r="C16" s="54" t="s">
        <v>162</v>
      </c>
    </row>
    <row r="17" spans="2:3" ht="45" hidden="1" customHeight="1" outlineLevel="1" x14ac:dyDescent="0.25">
      <c r="B17" s="79"/>
      <c r="C17" t="s">
        <v>187</v>
      </c>
    </row>
    <row r="18" spans="2:3" ht="45" hidden="1" customHeight="1" outlineLevel="1" x14ac:dyDescent="0.25">
      <c r="B18" s="79"/>
      <c r="C18" s="54" t="s">
        <v>163</v>
      </c>
    </row>
    <row r="19" spans="2:3" ht="45" hidden="1" customHeight="1" outlineLevel="1" x14ac:dyDescent="0.25">
      <c r="B19" s="79"/>
      <c r="C19" t="s">
        <v>164</v>
      </c>
    </row>
    <row r="20" spans="2:3" ht="45" hidden="1" customHeight="1" outlineLevel="1" x14ac:dyDescent="0.25">
      <c r="B20" s="79"/>
      <c r="C20" s="54" t="s">
        <v>221</v>
      </c>
    </row>
    <row r="21" spans="2:3" ht="45" hidden="1" customHeight="1" outlineLevel="1" x14ac:dyDescent="0.25">
      <c r="B21" s="79"/>
      <c r="C21" t="s">
        <v>165</v>
      </c>
    </row>
    <row r="22" spans="2:3" ht="45" hidden="1" customHeight="1" outlineLevel="1" x14ac:dyDescent="0.25">
      <c r="B22" s="79"/>
      <c r="C22" s="54" t="s">
        <v>166</v>
      </c>
    </row>
    <row r="23" spans="2:3" ht="45" hidden="1" customHeight="1" outlineLevel="1" x14ac:dyDescent="0.25">
      <c r="B23" s="79"/>
      <c r="C23" t="s">
        <v>222</v>
      </c>
    </row>
    <row r="24" spans="2:3" ht="45" hidden="1" customHeight="1" outlineLevel="1" x14ac:dyDescent="0.25">
      <c r="B24" s="79"/>
      <c r="C24" s="54" t="s">
        <v>167</v>
      </c>
    </row>
    <row r="25" spans="2:3" ht="30.75" customHeight="1" collapsed="1" x14ac:dyDescent="0.25">
      <c r="B25" s="79" t="s">
        <v>174</v>
      </c>
      <c r="C25" s="8" t="s">
        <v>335</v>
      </c>
    </row>
    <row r="26" spans="2:3" ht="15" hidden="1" customHeight="1" outlineLevel="1" collapsed="1" x14ac:dyDescent="0.25">
      <c r="B26" s="79"/>
      <c r="C26" s="57" t="s">
        <v>331</v>
      </c>
    </row>
    <row r="27" spans="2:3" ht="15" hidden="1" customHeight="1" outlineLevel="1" x14ac:dyDescent="0.25">
      <c r="B27" s="79"/>
      <c r="C27" s="54" t="s">
        <v>123</v>
      </c>
    </row>
    <row r="28" spans="2:3" ht="15" hidden="1" customHeight="1" outlineLevel="1" x14ac:dyDescent="0.25">
      <c r="B28" s="79"/>
      <c r="C28" t="s">
        <v>155</v>
      </c>
    </row>
    <row r="29" spans="2:3" ht="15" hidden="1" customHeight="1" outlineLevel="1" x14ac:dyDescent="0.25">
      <c r="B29" s="79"/>
      <c r="C29" s="54" t="s">
        <v>88</v>
      </c>
    </row>
    <row r="30" spans="2:3" ht="15" hidden="1" customHeight="1" outlineLevel="1" x14ac:dyDescent="0.25">
      <c r="B30" s="79"/>
      <c r="C30" t="s">
        <v>89</v>
      </c>
    </row>
    <row r="31" spans="2:3" ht="15" hidden="1" customHeight="1" outlineLevel="1" x14ac:dyDescent="0.25">
      <c r="B31" s="79"/>
      <c r="C31" s="54" t="s">
        <v>55</v>
      </c>
    </row>
    <row r="32" spans="2:3" ht="15" hidden="1" customHeight="1" outlineLevel="1" x14ac:dyDescent="0.25">
      <c r="B32" s="79"/>
      <c r="C32" t="s">
        <v>68</v>
      </c>
    </row>
    <row r="33" spans="2:3" ht="15" hidden="1" customHeight="1" outlineLevel="1" x14ac:dyDescent="0.25">
      <c r="B33" s="79"/>
      <c r="C33" s="58" t="s">
        <v>90</v>
      </c>
    </row>
    <row r="34" spans="2:3" ht="31.5" customHeight="1" collapsed="1" x14ac:dyDescent="0.25">
      <c r="B34" s="78" t="s">
        <v>226</v>
      </c>
      <c r="C34" s="55" t="s">
        <v>334</v>
      </c>
    </row>
    <row r="35" spans="2:3" hidden="1" outlineLevel="1" collapsed="1" x14ac:dyDescent="0.25">
      <c r="B35" s="54"/>
      <c r="C35" s="57" t="s">
        <v>331</v>
      </c>
    </row>
    <row r="36" spans="2:3" hidden="1" outlineLevel="1" x14ac:dyDescent="0.25">
      <c r="C36" s="54" t="s">
        <v>123</v>
      </c>
    </row>
    <row r="37" spans="2:3" hidden="1" outlineLevel="1" x14ac:dyDescent="0.25">
      <c r="C37" t="s">
        <v>71</v>
      </c>
    </row>
    <row r="38" spans="2:3" hidden="1" outlineLevel="1" x14ac:dyDescent="0.25">
      <c r="C38" s="54" t="s">
        <v>200</v>
      </c>
    </row>
    <row r="39" spans="2:3" hidden="1" outlineLevel="1" x14ac:dyDescent="0.25">
      <c r="C39" t="s">
        <v>210</v>
      </c>
    </row>
    <row r="40" spans="2:3" hidden="1" outlineLevel="1" x14ac:dyDescent="0.25">
      <c r="C40" s="54" t="s">
        <v>243</v>
      </c>
    </row>
    <row r="41" spans="2:3" hidden="1" outlineLevel="1" x14ac:dyDescent="0.25">
      <c r="C41" t="s">
        <v>201</v>
      </c>
    </row>
    <row r="42" spans="2:3" hidden="1" outlineLevel="1" x14ac:dyDescent="0.25">
      <c r="C42" s="59" t="s">
        <v>202</v>
      </c>
    </row>
    <row r="43" spans="2:3" hidden="1" outlineLevel="1" x14ac:dyDescent="0.25">
      <c r="C43" t="s">
        <v>209</v>
      </c>
    </row>
    <row r="44" spans="2:3" hidden="1" outlineLevel="1" x14ac:dyDescent="0.25">
      <c r="C44" s="54" t="s">
        <v>203</v>
      </c>
    </row>
    <row r="45" spans="2:3" hidden="1" outlineLevel="1" x14ac:dyDescent="0.25">
      <c r="C45" t="s">
        <v>6</v>
      </c>
    </row>
    <row r="46" spans="2:3" hidden="1" outlineLevel="1" x14ac:dyDescent="0.25">
      <c r="C46" s="54" t="s">
        <v>7</v>
      </c>
    </row>
    <row r="47" spans="2:3" hidden="1" outlineLevel="1" x14ac:dyDescent="0.25">
      <c r="C47" t="s">
        <v>8</v>
      </c>
    </row>
    <row r="48" spans="2:3" hidden="1" outlineLevel="1" x14ac:dyDescent="0.25">
      <c r="C48" s="54" t="s">
        <v>9</v>
      </c>
    </row>
    <row r="49" spans="3:3" hidden="1" outlineLevel="1" x14ac:dyDescent="0.25">
      <c r="C49" t="s">
        <v>10</v>
      </c>
    </row>
    <row r="50" spans="3:3" hidden="1" outlineLevel="1" x14ac:dyDescent="0.25">
      <c r="C50" s="5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H7" sqref="H7"/>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31</v>
      </c>
      <c r="I4" s="31">
        <f ca="1" xml:space="preserve"> doc_tablesList[[#This Row],[Number of Data Rows]] + doc_tablesList[[#This Row],[Header Row]]</f>
        <v>51</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15</v>
      </c>
      <c r="L4" s="31">
        <f ca="1" xml:space="preserve"> doc_tablesList[[#This Row],[last_colIndex]] - doc_tablesList[[#This Row],[id_colIndex]] + 1</f>
        <v>14</v>
      </c>
      <c r="M4" s="48" t="str" cm="1">
        <f t="array" aca="1" ref="M4" ca="1" xml:space="preserve"> _xlfn.TEXTJOIN( ", ", ,  COLUMN( co_sectors[[#Headers],[hasPhysicalImpacts]:[Number of impact years]] )  - doc_tablesList[[#This Row],[id_colIndex]] + 1 )</f>
        <v>10, 11, 12, 13, 14</v>
      </c>
      <c r="N4" s="47"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92</v>
      </c>
      <c r="H5" s="31">
        <f ca="1" xml:space="preserve"> MAX( INDIRECT( _xlfn.TEXTJOIN( "", , doc_tablesList[[#This Row],[Table Name]], "[", doc_tablesList[[#This Row],[ID_columnName]], "]" ) ) )</f>
        <v>55</v>
      </c>
      <c r="I5" s="31">
        <f ca="1" xml:space="preserve"> doc_tablesList[[#This Row],[Number of Data Rows]] + doc_tablesList[[#This Row],[Header Row]]</f>
        <v>147</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8" t="str">
        <f ca="1" xml:space="preserve"> _xlfn.TEXTJOIN( ", ", ,
COLUMN( co_variants[[#Headers],[hasImpacts]] )  - doc_tablesList[[#This Row],[id_colIndex]] + 1
 )</f>
        <v>8</v>
      </c>
      <c r="N5" s="47"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55</v>
      </c>
      <c r="H6" s="31">
        <f ca="1" xml:space="preserve"> MAX( INDIRECT( _xlfn.TEXTJOIN( "", , doc_tablesList[[#This Row],[Table Name]], "[", doc_tablesList[[#This Row],[ID_columnName]], "]" ) ) )</f>
        <v>31</v>
      </c>
      <c r="I6" s="31">
        <f ca="1" xml:space="preserve"> doc_tablesList[[#This Row],[Number of Data Rows]] + doc_tablesList[[#This Row],[Header Row]]</f>
        <v>86</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8"/>
      <c r="N6" s="47"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151</v>
      </c>
      <c r="H7" s="31">
        <f ca="1" xml:space="preserve"> MAX( INDIRECT( _xlfn.TEXTJOIN( "", , doc_tablesList[[#This Row],[Table Name]], "[", doc_tablesList[[#This Row],[ID_columnName]], "]" ) ) )</f>
        <v>57</v>
      </c>
      <c r="I7" s="31">
        <f ca="1" xml:space="preserve"> doc_tablesList[[#This Row],[Number of Data Rows]] + doc_tablesList[[#This Row],[Header Row]]</f>
        <v>208</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8"/>
      <c r="N7" s="47"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213</v>
      </c>
      <c r="H8" s="31">
        <f ca="1" xml:space="preserve"> MAX( INDIRECT( _xlfn.TEXTJOIN( "", , doc_tablesList[[#This Row],[Table Name]], "[", doc_tablesList[[#This Row],[ID_columnName]], "]" ) ) )</f>
        <v>42</v>
      </c>
      <c r="I8" s="31">
        <f ca="1" xml:space="preserve"> doc_tablesList[[#This Row],[Number of Data Rows]] + doc_tablesList[[#This Row],[Header Row]]</f>
        <v>255</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8"/>
      <c r="N8" s="47"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323</v>
      </c>
      <c r="H9" s="31">
        <f ca="1" xml:space="preserve"> MAX( INDIRECT( _xlfn.TEXTJOIN( "", , doc_tablesList[[#This Row],[Table Name]], "[", doc_tablesList[[#This Row],[ID_columnName]], "]" ) ) )</f>
        <v>7</v>
      </c>
      <c r="I9" s="31">
        <f ca="1" xml:space="preserve"> doc_tablesList[[#This Row],[Number of Data Rows]] + doc_tablesList[[#This Row],[Header Row]]</f>
        <v>330</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8"/>
      <c r="N9" s="47"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295</v>
      </c>
      <c r="H10" s="31">
        <f ca="1" xml:space="preserve"> MAX( INDIRECT( _xlfn.TEXTJOIN( "", , doc_tablesList[[#This Row],[Table Name]], "[", doc_tablesList[[#This Row],[ID_columnName]], "]" ) ) )</f>
        <v>14</v>
      </c>
      <c r="I10" s="31">
        <f ca="1" xml:space="preserve"> doc_tablesList[[#This Row],[Number of Data Rows]] + doc_tablesList[[#This Row],[Header Row]]</f>
        <v>309</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8"/>
      <c r="N10" s="47"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260</v>
      </c>
      <c r="H11" s="31">
        <f ca="1" xml:space="preserve"> MAX( INDIRECT( _xlfn.TEXTJOIN( "", , doc_tablesList[[#This Row],[Table Name]], "[", doc_tablesList[[#This Row],[ID_columnName]], "]" ) ) )</f>
        <v>3</v>
      </c>
      <c r="I11" s="31">
        <f ca="1" xml:space="preserve"> doc_tablesList[[#This Row],[Number of Data Rows]] + doc_tablesList[[#This Row],[Header Row]]</f>
        <v>263</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8" t="str">
        <f ca="1" xml:space="preserve"> _xlfn.TEXTJOIN( ", ", , COLUMN( co_econMultipliers[[#Headers],[valueYear]] )  - doc_tablesList[[#This Row],[id_colIndex]] + 1 )</f>
        <v>4</v>
      </c>
      <c r="N11" s="47"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288</v>
      </c>
      <c r="H12" s="31">
        <f ca="1" xml:space="preserve"> MAX( INDIRECT( _xlfn.TEXTJOIN( "", , doc_tablesList[[#This Row],[Table Name]], "[", doc_tablesList[[#This Row],[ID_columnName]], "]" ) ) )</f>
        <v>2</v>
      </c>
      <c r="I12" s="31">
        <f ca="1" xml:space="preserve"> doc_tablesList[[#This Row],[Number of Data Rows]] + doc_tablesList[[#This Row],[Header Row]]</f>
        <v>290</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8"/>
      <c r="N12" s="47"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314</v>
      </c>
      <c r="H13" s="31">
        <f ca="1" xml:space="preserve"> MAX( INDIRECT( _xlfn.TEXTJOIN( "", , doc_tablesList[[#This Row],[Table Name]], "[", doc_tablesList[[#This Row],[ID_columnName]], "]" ) ) )</f>
        <v>4</v>
      </c>
      <c r="I13" s="31">
        <f ca="1" xml:space="preserve"> doc_tablesList[[#This Row],[Number of Data Rows]] + doc_tablesList[[#This Row],[Header Row]]</f>
        <v>318</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8"/>
      <c r="N13" s="47"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8"/>
      <c r="N14" s="47"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8"/>
      <c r="N15" s="47"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335</v>
      </c>
      <c r="H16" s="31">
        <f ca="1" xml:space="preserve"> MAX( INDIRECT( _xlfn.TEXTJOIN( "", , doc_tablesList[[#This Row],[Table Name]], "[", doc_tablesList[[#This Row],[ID_columnName]], "]" ) ) )</f>
        <v>49</v>
      </c>
      <c r="I16" s="31">
        <f ca="1" xml:space="preserve"> doc_tablesList[[#This Row],[Number of Data Rows]] + doc_tablesList[[#This Row],[Header Row]]</f>
        <v>384</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8"/>
      <c r="N16" s="47"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277</v>
      </c>
      <c r="H17" s="31">
        <f ca="1" xml:space="preserve"> MAX( INDIRECT( _xlfn.TEXTJOIN( "", , doc_tablesList[[#This Row],[Table Name]], "[", doc_tablesList[[#This Row],[ID_columnName]], "]" ) ) )</f>
        <v>7</v>
      </c>
      <c r="I17" s="31">
        <f ca="1" xml:space="preserve"> doc_tablesList[[#This Row],[Number of Data Rows]] + doc_tablesList[[#This Row],[Header Row]]</f>
        <v>284</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10</v>
      </c>
      <c r="L17" s="31">
        <f ca="1" xml:space="preserve"> doc_tablesList[[#This Row],[last_colIndex]] - doc_tablesList[[#This Row],[id_colIndex]] + 1</f>
        <v>9</v>
      </c>
      <c r="M17" s="48"/>
      <c r="N17" s="47"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84"/>
  <sheetViews>
    <sheetView tabSelected="1" topLeftCell="A263" zoomScaleNormal="100" workbookViewId="0">
      <pane xSplit="3" topLeftCell="D1" activePane="topRight" state="frozen"/>
      <selection pane="topRight" activeCell="G285" sqref="G285"/>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49" t="str">
        <f ca="1" xml:space="preserve"> OFFSET( INDIRECT( ADDRESS( ROW( co_sectors[[#Headers],[row_id]] ), COLUMN( co_sectors[[#Headers],[row_id]] ), , , ) ), -2, , 1, 1 )</f>
        <v>Sectors Table</v>
      </c>
      <c r="D2" s="2" t="s">
        <v>299</v>
      </c>
    </row>
    <row r="3" spans="1:21" x14ac:dyDescent="0.2">
      <c r="C3" s="49" t="str">
        <f ca="1" xml:space="preserve"> OFFSET( INDIRECT( ADDRESS( ROW( co_impactYears[[#Headers],[row_id]] ), COLUMN( co_impactYears[[#Headers],[row_id]] ), , , ) ), -2, , 1, 1 )</f>
        <v>Impact Year Estimates</v>
      </c>
      <c r="D3" s="2" t="s">
        <v>300</v>
      </c>
    </row>
    <row r="4" spans="1:21" x14ac:dyDescent="0.2">
      <c r="C4" s="49" t="str">
        <f ca="1" xml:space="preserve"> OFFSET( INDIRECT( ADDRESS( ROW( co_variants[[#Headers],[row_id]] ), COLUMN( co_variants[[#Headers],[row_id]] ), , , ) ), -4, , 1, 1 )</f>
        <v>Variants Table</v>
      </c>
      <c r="D4" s="2" t="s">
        <v>301</v>
      </c>
    </row>
    <row r="5" spans="1:21" x14ac:dyDescent="0.2">
      <c r="C5" s="49" t="str">
        <f ca="1" xml:space="preserve"> OFFSET( INDIRECT( ADDRESS( ROW( co_impactTypes[[#Headers],[row_id]] ), COLUMN( co_impactTypes[[#Headers],[row_id]] ), , , ) ), -2, , 1, 1 )</f>
        <v>Impact Types</v>
      </c>
      <c r="D5" s="2" t="s">
        <v>302</v>
      </c>
    </row>
    <row r="6" spans="1:21" x14ac:dyDescent="0.2">
      <c r="C6" s="49" t="str">
        <f ca="1" xml:space="preserve"> OFFSET( INDIRECT( ADDRESS( ROW( co_scalarInfo[[#Headers],[row_id]] ), COLUMN( co_scalarInfo[[#Headers],[row_id]] ), , , ) ), -2, , 1, 1 )</f>
        <v>Scalar Information</v>
      </c>
      <c r="D6" s="2" t="s">
        <v>303</v>
      </c>
    </row>
    <row r="7" spans="1:21" x14ac:dyDescent="0.2">
      <c r="C7" s="49" t="str">
        <f ca="1" xml:space="preserve"> OFFSET( INDIRECT( ADDRESS( ROW( co_econMultipliers[[#Headers],[row_id]] ), COLUMN( co_econMultipliers[[#Headers],[row_id]] ), , , ) ), -2, , 1, 1 )</f>
        <v>Economic Multipliers</v>
      </c>
      <c r="D7" s="2" t="s">
        <v>304</v>
      </c>
    </row>
    <row r="8" spans="1:21" x14ac:dyDescent="0.2">
      <c r="C8" s="49" t="str">
        <f ca="1" xml:space="preserve"> OFFSET( INDIRECT( ADDRESS( ROW( co_constants[[#Headers],[row_id]] ), COLUMN( co_constants[[#Headers],[row_id]] ), , , ) ), -2, , 1, 1 )</f>
        <v>Constants</v>
      </c>
      <c r="D8" s="2" t="s">
        <v>295</v>
      </c>
    </row>
    <row r="9" spans="1:21" x14ac:dyDescent="0.2">
      <c r="C9" s="49" t="str">
        <f ca="1" xml:space="preserve"> OFFSET( INDIRECT( ADDRESS( ROW( co_modelTypes[[#Headers],[row_id]] ), COLUMN( co_modelTypes[[#Headers],[row_id]] ), , , ) ), -2, , 1, 1 )</f>
        <v>Model Types</v>
      </c>
      <c r="D9" s="2" t="s">
        <v>296</v>
      </c>
    </row>
    <row r="10" spans="1:21" x14ac:dyDescent="0.2">
      <c r="C10" s="49" t="str">
        <f ca="1" xml:space="preserve"> OFFSET( INDIRECT( ADDRESS( ROW( co_models[[#Headers],[row_id]] ), COLUMN( co_models[[#Headers],[row_id]] ), , , ) ), -2, , 1, 1 )</f>
        <v>GCM Models &amp; SLR Scenarios</v>
      </c>
      <c r="D10" s="2" t="s">
        <v>297</v>
      </c>
    </row>
    <row r="11" spans="1:21" x14ac:dyDescent="0.2">
      <c r="C11" s="49" t="str">
        <f ca="1" xml:space="preserve"> OFFSET( INDIRECT( ADDRESS( ROW( co_regions[[#Headers],[row_id]] ), COLUMN( co_regions[[#Headers],[row_id]] ), , , ) ), -2, , 1, 1 )</f>
        <v>Regions</v>
      </c>
      <c r="D11" s="2" t="s">
        <v>305</v>
      </c>
    </row>
    <row r="12" spans="1:21" x14ac:dyDescent="0.2">
      <c r="C12" s="49" t="str">
        <f ca="1" xml:space="preserve"> OFFSET( INDIRECT( ADDRESS( ROW( co_inputInfo[[#Headers],[row_id]] ), COLUMN( co_inputInfo[[#Headers],[row_id]] ), , , ) ), -2, , 1, 1 )</f>
        <v>Input Scenario Information</v>
      </c>
      <c r="D12" s="2" t="s">
        <v>329</v>
      </c>
    </row>
    <row r="13" spans="1:21" x14ac:dyDescent="0.2">
      <c r="C13" s="49" t="str">
        <f ca="1" xml:space="preserve"> OFFSET( INDIRECT( ADDRESS( ROW( co_states[[#Headers],[row_id]] ), COLUMN( co_states[[#Headers],[row_id]] ), , , ) ), -2, , 1, 1 )</f>
        <v>States</v>
      </c>
      <c r="D13" s="2" t="s">
        <v>542</v>
      </c>
    </row>
    <row r="14" spans="1:21" x14ac:dyDescent="0.2">
      <c r="C14" s="49" t="str">
        <f ca="1" xml:space="preserve"> OFFSET( INDIRECT( ADDRESS( ROW( co_slrScalars[[#Headers],[row_id]] ), COLUMN( co_slrScalars[[#Headers],[row_id]] ), , , ) ), -3, , 1, 1 )</f>
        <v>SLR Scalars</v>
      </c>
      <c r="D14" s="2" t="s">
        <v>550</v>
      </c>
    </row>
    <row r="16" spans="1:21" ht="22.5" x14ac:dyDescent="0.2">
      <c r="C16" s="53" t="s">
        <v>288</v>
      </c>
      <c r="D16" s="50" t="s">
        <v>294</v>
      </c>
      <c r="E16" s="51" t="s">
        <v>281</v>
      </c>
      <c r="F16" s="52"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675</v>
      </c>
      <c r="L20" s="20" t="s">
        <v>676</v>
      </c>
      <c r="M20" s="20" t="s">
        <v>387</v>
      </c>
      <c r="N20" s="20" t="s">
        <v>246</v>
      </c>
      <c r="O20" s="20" t="s">
        <v>247</v>
      </c>
    </row>
    <row r="21" spans="1:21" ht="22.5" x14ac:dyDescent="0.2">
      <c r="B21" s="69">
        <f xml:space="preserve"> ROW( co_sectors[[#This Row],[row_id]] ) - ROW( co_sectors[[#Headers],[row_id]] )</f>
        <v>1</v>
      </c>
      <c r="C21" s="70" t="s">
        <v>99</v>
      </c>
      <c r="D21" s="23" t="s">
        <v>559</v>
      </c>
      <c r="E21" s="11">
        <v>1</v>
      </c>
      <c r="F21" s="14" t="s">
        <v>161</v>
      </c>
      <c r="G21" s="88"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8" t="str">
        <f ca="1" xml:space="preserve"> _xlfn.TEXTJOIN( ", ", 1,
  OFFSET( INDIRECT( ADDRESS( ROW( INDEX( co_impactYears[sector_id], MATCH( co_sectors[[#This Row],[sector_id]], co_impactYears[sector_id], 0 ) ) ),  COLUMN( co_impactYears[[#Headers],[sector_id]] ), , , "controlTables" ) ), 0, 1, 1, 4 )
)</f>
        <v>NA</v>
      </c>
      <c r="I21" s="88"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90" t="b" cm="1">
        <f t="array" ref="K21" xml:space="preserve"> SUMPRODUCT( --( co_sectors[[#This Row],[sector_id]] = co_impactTypes[sector_id] ), --IF( co_impactTypes[physicalmeasure] = "N/A", 0, 1) ) &gt;= 1</f>
        <v>1</v>
      </c>
      <c r="L21" s="90" t="b" cm="1">
        <f t="array" ref="L21" xml:space="preserve"> OR( SUMPRODUCT( --( co_sectors[[#This Row],[sector_id]] = co_impactTypes[sector_id] ), --IF( co_impactTypes[c0] &lt;&gt; 0, 1, 0) ) &gt;= 1,
      SUMPRODUCT( --( co_sectors[[#This Row],[sector_id]] = co_impactTypes[sector_id] ), --IF( co_impactTypes[c1] &lt;&gt; 0, 1, 0) ) &gt;= 1 )</f>
        <v>1</v>
      </c>
      <c r="M21" s="90" cm="1">
        <f t="array" ref="M21" xml:space="preserve"> SUMPRODUCT( --( co_sectors[[#This Row],[sector_id]] = co_variants[sector_id] ) )</f>
        <v>2</v>
      </c>
      <c r="N21" s="90" cm="1">
        <f t="array" ref="N21" xml:space="preserve"> SUMPRODUCT( --( co_sectors[[#This Row],[sector_id]] = co_impactTypes[sector_id] ) )</f>
        <v>2</v>
      </c>
      <c r="O21" s="90" cm="1">
        <f t="array" ref="O21" xml:space="preserve"> IF( INDEX( co_impactYears[NA], MATCH( 1, --( co_sectors[[#This Row],[sector_id]] = co_impactYears[sector_id] ), 0 ) ) = "NA", 1, 2 )</f>
        <v>1</v>
      </c>
    </row>
    <row r="22" spans="1:21" x14ac:dyDescent="0.2">
      <c r="B22" s="71">
        <f xml:space="preserve"> ROW( co_sectors[[#This Row],[row_id]] ) - ROW( co_sectors[[#Headers],[row_id]] )</f>
        <v>2</v>
      </c>
      <c r="C22" s="72" t="s">
        <v>274</v>
      </c>
      <c r="D22" s="24" t="s">
        <v>276</v>
      </c>
      <c r="E22" s="12">
        <v>1</v>
      </c>
      <c r="F22" s="15" t="s">
        <v>161</v>
      </c>
      <c r="G22" s="88"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8" t="str">
        <f ca="1" xml:space="preserve"> _xlfn.TEXTJOIN( ", ", 1,
  OFFSET( INDIRECT( ADDRESS( ROW( INDEX( co_impactYears[sector_id], MATCH( co_sectors[[#This Row],[sector_id]], co_impactYears[sector_id], 0 ) ) ),  COLUMN( co_impactYears[[#Headers],[sector_id]] ), , , "controlTables" ) ), 0, 1, 1, 4 )
)</f>
        <v>NA</v>
      </c>
      <c r="I22" s="88"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90" t="b" cm="1">
        <f t="array" ref="K22" xml:space="preserve"> SUMPRODUCT( --( co_sectors[[#This Row],[sector_id]] = co_impactTypes[sector_id] ), --IF( co_impactTypes[physicalmeasure] = "N/A", 0, 1) ) &gt;= 1</f>
        <v>1</v>
      </c>
      <c r="L22" s="90" t="b" cm="1">
        <f t="array" ref="L22" xml:space="preserve"> OR( SUMPRODUCT( --( co_sectors[[#This Row],[sector_id]] = co_impactTypes[sector_id] ), --IF( co_impactTypes[c0] &lt;&gt; 0, 1, 0) ) &gt;= 1,
      SUMPRODUCT( --( co_sectors[[#This Row],[sector_id]] = co_impactTypes[sector_id] ), --IF( co_impactTypes[c1] &lt;&gt; 0, 1, 0) ) &gt;= 1 )</f>
        <v>1</v>
      </c>
      <c r="M22" s="90" cm="1">
        <f t="array" ref="M22" xml:space="preserve"> SUMPRODUCT( --( co_sectors[[#This Row],[sector_id]] = co_variants[sector_id] ) )</f>
        <v>1</v>
      </c>
      <c r="N22" s="90" cm="1">
        <f t="array" ref="N22" xml:space="preserve"> SUMPRODUCT( --( co_sectors[[#This Row],[sector_id]] = co_impactTypes[sector_id] ) )</f>
        <v>1</v>
      </c>
      <c r="O22" s="90" cm="1">
        <f t="array" ref="O22" xml:space="preserve"> IF( INDEX( co_impactYears[NA], MATCH( 1, --( co_sectors[[#This Row],[sector_id]] = co_impactYears[sector_id] ), 0 ) ) = "NA", 1, 2 )</f>
        <v>1</v>
      </c>
    </row>
    <row r="23" spans="1:21" ht="33.75" x14ac:dyDescent="0.2">
      <c r="B23" s="73">
        <f xml:space="preserve"> ROW( co_sectors[[#This Row],[row_id]] ) - ROW( co_sectors[[#Headers],[row_id]] )</f>
        <v>3</v>
      </c>
      <c r="C23" s="70" t="s">
        <v>553</v>
      </c>
      <c r="D23" s="23" t="s">
        <v>556</v>
      </c>
      <c r="E23" s="11">
        <v>1</v>
      </c>
      <c r="F23" s="15" t="s">
        <v>161</v>
      </c>
      <c r="G23" s="88"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8" t="str">
        <f ca="1" xml:space="preserve"> _xlfn.TEXTJOIN( ", ", 1,
  OFFSET( INDIRECT( ADDRESS( ROW( INDEX( co_impactYears[sector_id], MATCH( co_sectors[[#This Row],[sector_id]], co_impactYears[sector_id], 0 ) ) ),  COLUMN( co_impactYears[[#Headers],[sector_id]] ), , , "controlTables" ) ), 0, 1, 1, 4 )
)</f>
        <v>NA</v>
      </c>
      <c r="I23" s="88"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90" t="b" cm="1">
        <f t="array" ref="K23" xml:space="preserve"> SUMPRODUCT( --( co_sectors[[#This Row],[sector_id]] = co_impactTypes[sector_id] ), --IF( co_impactTypes[physicalmeasure] = "N/A", 0, 1) ) &gt;= 1</f>
        <v>1</v>
      </c>
      <c r="L23" s="90" t="b" cm="1">
        <f t="array" ref="L23" xml:space="preserve"> OR( SUMPRODUCT( --( co_sectors[[#This Row],[sector_id]] = co_impactTypes[sector_id] ), --IF( co_impactTypes[c0] &lt;&gt; 0, 1, 0) ) &gt;= 1,
      SUMPRODUCT( --( co_sectors[[#This Row],[sector_id]] = co_impactTypes[sector_id] ), --IF( co_impactTypes[c1] &lt;&gt; 0, 1, 0) ) &gt;= 1 )</f>
        <v>1</v>
      </c>
      <c r="M23" s="90" cm="1">
        <f t="array" ref="M23" xml:space="preserve"> SUMPRODUCT( --( co_sectors[[#This Row],[sector_id]] = co_variants[sector_id] ) )</f>
        <v>3</v>
      </c>
      <c r="N23" s="90" cm="1">
        <f t="array" ref="N23" xml:space="preserve"> SUMPRODUCT( --( co_sectors[[#This Row],[sector_id]] = co_impactTypes[sector_id] ) )</f>
        <v>1</v>
      </c>
      <c r="O23" s="90" cm="1">
        <f t="array" ref="O23" xml:space="preserve"> IF( INDEX( co_impactYears[NA], MATCH( 1, --( co_sectors[[#This Row],[sector_id]] = co_impactYears[sector_id] ), 0 ) ) = "NA", 1, 2 )</f>
        <v>1</v>
      </c>
    </row>
    <row r="24" spans="1:21" ht="22.5" x14ac:dyDescent="0.2">
      <c r="B24" s="73">
        <f xml:space="preserve"> ROW( co_sectors[[#This Row],[row_id]] ) - ROW( co_sectors[[#Headers],[row_id]] )</f>
        <v>4</v>
      </c>
      <c r="C24" s="70" t="s">
        <v>371</v>
      </c>
      <c r="D24" s="23" t="s">
        <v>373</v>
      </c>
      <c r="E24" s="11">
        <v>1</v>
      </c>
      <c r="F24" s="15" t="s">
        <v>161</v>
      </c>
      <c r="G24" s="88"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8" t="str">
        <f ca="1" xml:space="preserve"> _xlfn.TEXTJOIN( ", ", 1,
  OFFSET( INDIRECT( ADDRESS( ROW( INDEX( co_impactYears[sector_id], MATCH( co_sectors[[#This Row],[sector_id]], co_impactYears[sector_id], 0 ) ) ),  COLUMN( co_impactYears[[#Headers],[sector_id]] ), , , "controlTables" ) ), 0, 1, 1, 4 )
)</f>
        <v>NA</v>
      </c>
      <c r="I24" s="88"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90" t="b" cm="1">
        <f t="array" ref="K24" xml:space="preserve"> SUMPRODUCT( --( co_sectors[[#This Row],[sector_id]] = co_impactTypes[sector_id] ), --IF( co_impactTypes[physicalmeasure] = "N/A", 0, 1) ) &gt;= 1</f>
        <v>0</v>
      </c>
      <c r="L24" s="90" t="b" cm="1">
        <f t="array" ref="L24" xml:space="preserve"> OR( SUMPRODUCT( --( co_sectors[[#This Row],[sector_id]] = co_impactTypes[sector_id] ), --IF( co_impactTypes[c0] &lt;&gt; 0, 1, 0) ) &gt;= 1,
      SUMPRODUCT( --( co_sectors[[#This Row],[sector_id]] = co_impactTypes[sector_id] ), --IF( co_impactTypes[c1] &lt;&gt; 0, 1, 0) ) &gt;= 1 )</f>
        <v>1</v>
      </c>
      <c r="M24" s="90" cm="1">
        <f t="array" ref="M24" xml:space="preserve"> SUMPRODUCT( --( co_sectors[[#This Row],[sector_id]] = co_variants[sector_id] ) )</f>
        <v>2</v>
      </c>
      <c r="N24" s="90" cm="1">
        <f t="array" ref="N24" xml:space="preserve"> SUMPRODUCT( --( co_sectors[[#This Row],[sector_id]] = co_impactTypes[sector_id] ) )</f>
        <v>4</v>
      </c>
      <c r="O24" s="90" cm="1">
        <f t="array" ref="O24" xml:space="preserve"> IF( INDEX( co_impactYears[NA], MATCH( 1, --( co_sectors[[#This Row],[sector_id]] = co_impactYears[sector_id] ), 0 ) ) = "NA", 1, 2 )</f>
        <v>1</v>
      </c>
    </row>
    <row r="25" spans="1:21" x14ac:dyDescent="0.2">
      <c r="B25" s="73">
        <f xml:space="preserve"> ROW( co_sectors[[#This Row],[row_id]] ) - ROW( co_sectors[[#Headers],[row_id]] )</f>
        <v>5</v>
      </c>
      <c r="C25" s="70" t="s">
        <v>372</v>
      </c>
      <c r="D25" s="23" t="s">
        <v>374</v>
      </c>
      <c r="E25" s="11">
        <v>1</v>
      </c>
      <c r="F25" s="14" t="s">
        <v>161</v>
      </c>
      <c r="G25" s="88"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8" t="str">
        <f ca="1" xml:space="preserve"> _xlfn.TEXTJOIN( ", ", 1,
  OFFSET( INDIRECT( ADDRESS( ROW( INDEX( co_impactYears[sector_id], MATCH( co_sectors[[#This Row],[sector_id]], co_impactYears[sector_id], 0 ) ) ),  COLUMN( co_impactYears[[#Headers],[sector_id]] ), , , "controlTables" ) ), 0, 1, 1, 4 )
)</f>
        <v>NA</v>
      </c>
      <c r="I25" s="88"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90" t="b" cm="1">
        <f t="array" ref="K25" xml:space="preserve"> SUMPRODUCT( --( co_sectors[[#This Row],[sector_id]] = co_impactTypes[sector_id] ), --IF( co_impactTypes[physicalmeasure] = "N/A", 0, 1) ) &gt;= 1</f>
        <v>1</v>
      </c>
      <c r="L25" s="90" t="b" cm="1">
        <f t="array" ref="L25" xml:space="preserve"> OR( SUMPRODUCT( --( co_sectors[[#This Row],[sector_id]] = co_impactTypes[sector_id] ), --IF( co_impactTypes[c0] &lt;&gt; 0, 1, 0) ) &gt;= 1,
      SUMPRODUCT( --( co_sectors[[#This Row],[sector_id]] = co_impactTypes[sector_id] ), --IF( co_impactTypes[c1] &lt;&gt; 0, 1, 0) ) &gt;= 1 )</f>
        <v>1</v>
      </c>
      <c r="M25" s="90" cm="1">
        <f t="array" ref="M25" xml:space="preserve"> SUMPRODUCT( --( co_sectors[[#This Row],[sector_id]] = co_variants[sector_id] ) )</f>
        <v>1</v>
      </c>
      <c r="N25" s="90" cm="1">
        <f t="array" ref="N25" xml:space="preserve"> SUMPRODUCT( --( co_sectors[[#This Row],[sector_id]] = co_impactTypes[sector_id] ) )</f>
        <v>2</v>
      </c>
      <c r="O25" s="90" cm="1">
        <f t="array" ref="O25" xml:space="preserve"> IF( INDEX( co_impactYears[NA], MATCH( 1, --( co_sectors[[#This Row],[sector_id]] = co_impactYears[sector_id] ), 0 ) ) = "NA", 1, 2 )</f>
        <v>1</v>
      </c>
    </row>
    <row r="26" spans="1:21" ht="33.75" x14ac:dyDescent="0.2">
      <c r="B26" s="73">
        <f xml:space="preserve"> ROW( co_sectors[[#This Row],[row_id]] ) - ROW( co_sectors[[#Headers],[row_id]] )</f>
        <v>6</v>
      </c>
      <c r="C26" s="74" t="s">
        <v>554</v>
      </c>
      <c r="D26" s="66" t="s">
        <v>557</v>
      </c>
      <c r="E26" s="67">
        <v>1</v>
      </c>
      <c r="F26" s="64" t="s">
        <v>161</v>
      </c>
      <c r="G26" s="88"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8" t="str">
        <f ca="1" xml:space="preserve"> _xlfn.TEXTJOIN( ", ", 1,
  OFFSET( INDIRECT( ADDRESS( ROW( INDEX( co_impactYears[sector_id], MATCH( co_sectors[[#This Row],[sector_id]], co_impactYears[sector_id], 0 ) ) ),  COLUMN( co_impactYears[[#Headers],[sector_id]] ), , , "controlTables" ) ), 0, 1, 1, 4 )
)</f>
        <v>NA</v>
      </c>
      <c r="I26" s="88"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90" t="b" cm="1">
        <f t="array" ref="K26" xml:space="preserve"> SUMPRODUCT( --( co_sectors[[#This Row],[sector_id]] = co_impactTypes[sector_id] ), --IF( co_impactTypes[physicalmeasure] = "N/A", 0, 1) ) &gt;= 1</f>
        <v>1</v>
      </c>
      <c r="L26" s="90" t="b" cm="1">
        <f t="array" ref="L26" xml:space="preserve"> OR( SUMPRODUCT( --( co_sectors[[#This Row],[sector_id]] = co_impactTypes[sector_id] ), --IF( co_impactTypes[c0] &lt;&gt; 0, 1, 0) ) &gt;= 1,
      SUMPRODUCT( --( co_sectors[[#This Row],[sector_id]] = co_impactTypes[sector_id] ), --IF( co_impactTypes[c1] &lt;&gt; 0, 1, 0) ) &gt;= 1 )</f>
        <v>1</v>
      </c>
      <c r="M26" s="90" cm="1">
        <f t="array" ref="M26" xml:space="preserve"> SUMPRODUCT( --( co_sectors[[#This Row],[sector_id]] = co_variants[sector_id] ) )</f>
        <v>3</v>
      </c>
      <c r="N26" s="90" cm="1">
        <f t="array" ref="N26" xml:space="preserve"> SUMPRODUCT( --( co_sectors[[#This Row],[sector_id]] = co_impactTypes[sector_id] ) )</f>
        <v>1</v>
      </c>
      <c r="O26" s="90" cm="1">
        <f t="array" ref="O26" xml:space="preserve"> IF( INDEX( co_impactYears[NA], MATCH( 1, --( co_sectors[[#This Row],[sector_id]] = co_impactYears[sector_id] ), 0 ) ) = "NA", 1, 2 )</f>
        <v>1</v>
      </c>
    </row>
    <row r="27" spans="1:21" ht="33.75" x14ac:dyDescent="0.2">
      <c r="B27" s="73">
        <f xml:space="preserve"> ROW( co_sectors[[#This Row],[row_id]] ) - ROW( co_sectors[[#Headers],[row_id]] )</f>
        <v>7</v>
      </c>
      <c r="C27" s="70" t="s">
        <v>21</v>
      </c>
      <c r="D27" s="23" t="s">
        <v>35</v>
      </c>
      <c r="E27" s="11">
        <v>1</v>
      </c>
      <c r="F27" s="15" t="s">
        <v>160</v>
      </c>
      <c r="G27" s="88"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8" t="str">
        <f ca="1" xml:space="preserve"> _xlfn.TEXTJOIN( ", ", 1,
  OFFSET( INDIRECT( ADDRESS( ROW( INDEX( co_impactYears[sector_id], MATCH( co_sectors[[#This Row],[sector_id]], co_impactYears[sector_id], 0 ) ) ),  COLUMN( co_impactYears[[#Headers],[sector_id]] ), , , "controlTables" ) ), 0, 1, 1, 4 )
)</f>
        <v>NA</v>
      </c>
      <c r="I27" s="88"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90" t="b" cm="1">
        <f t="array" ref="K27" xml:space="preserve"> SUMPRODUCT( --( co_sectors[[#This Row],[sector_id]] = co_impactTypes[sector_id] ), --IF( co_impactTypes[physicalmeasure] = "N/A", 0, 1) ) &gt;= 1</f>
        <v>0</v>
      </c>
      <c r="L27" s="90" t="b" cm="1">
        <f t="array" ref="L27" xml:space="preserve"> OR( SUMPRODUCT( --( co_sectors[[#This Row],[sector_id]] = co_impactTypes[sector_id] ), --IF( co_impactTypes[c0] &lt;&gt; 0, 1, 0) ) &gt;= 1,
      SUMPRODUCT( --( co_sectors[[#This Row],[sector_id]] = co_impactTypes[sector_id] ), --IF( co_impactTypes[c1] &lt;&gt; 0, 1, 0) ) &gt;= 1 )</f>
        <v>1</v>
      </c>
      <c r="M27" s="90" cm="1">
        <f t="array" ref="M27" xml:space="preserve"> SUMPRODUCT( --( co_sectors[[#This Row],[sector_id]] = co_variants[sector_id] ) )</f>
        <v>3</v>
      </c>
      <c r="N27" s="90" cm="1">
        <f t="array" ref="N27" xml:space="preserve"> SUMPRODUCT( --( co_sectors[[#This Row],[sector_id]] = co_impactTypes[sector_id] ) )</f>
        <v>1</v>
      </c>
      <c r="O27" s="90" cm="1">
        <f t="array" ref="O27" xml:space="preserve"> IF( INDEX( co_impactYears[NA], MATCH( 1, --( co_sectors[[#This Row],[sector_id]] = co_impactYears[sector_id] ), 0 ) ) = "NA", 1, 2 )</f>
        <v>1</v>
      </c>
    </row>
    <row r="28" spans="1:21" ht="22.5" x14ac:dyDescent="0.2">
      <c r="B28" s="73">
        <f xml:space="preserve"> ROW( co_sectors[[#This Row],[row_id]] ) - ROW( co_sectors[[#Headers],[row_id]] )</f>
        <v>8</v>
      </c>
      <c r="C28" s="75" t="s">
        <v>57</v>
      </c>
      <c r="D28" s="23" t="s">
        <v>273</v>
      </c>
      <c r="E28" s="12">
        <v>1</v>
      </c>
      <c r="F28" s="14" t="s">
        <v>161</v>
      </c>
      <c r="G28" s="88"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8" t="str">
        <f ca="1" xml:space="preserve"> _xlfn.TEXTJOIN( ", ", 1,
  OFFSET( INDIRECT( ADDRESS( ROW( INDEX( co_impactYears[sector_id], MATCH( co_sectors[[#This Row],[sector_id]], co_impactYears[sector_id], 0 ) ) ),  COLUMN( co_impactYears[[#Headers],[sector_id]] ), , , "controlTables" ) ), 0, 1, 1, 4 )
)</f>
        <v>NA</v>
      </c>
      <c r="I28" s="88"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90" t="b" cm="1">
        <f t="array" ref="K28" xml:space="preserve"> SUMPRODUCT( --( co_sectors[[#This Row],[sector_id]] = co_impactTypes[sector_id] ), --IF( co_impactTypes[physicalmeasure] = "N/A", 0, 1) ) &gt;= 1</f>
        <v>0</v>
      </c>
      <c r="L28" s="90" t="b" cm="1">
        <f t="array" ref="L28" xml:space="preserve"> OR( SUMPRODUCT( --( co_sectors[[#This Row],[sector_id]] = co_impactTypes[sector_id] ), --IF( co_impactTypes[c0] &lt;&gt; 0, 1, 0) ) &gt;= 1,
      SUMPRODUCT( --( co_sectors[[#This Row],[sector_id]] = co_impactTypes[sector_id] ), --IF( co_impactTypes[c1] &lt;&gt; 0, 1, 0) ) &gt;= 1 )</f>
        <v>1</v>
      </c>
      <c r="M28" s="90" cm="1">
        <f t="array" ref="M28" xml:space="preserve"> SUMPRODUCT( --( co_sectors[[#This Row],[sector_id]] = co_variants[sector_id] ) )</f>
        <v>1</v>
      </c>
      <c r="N28" s="90" cm="1">
        <f t="array" ref="N28" xml:space="preserve"> SUMPRODUCT( --( co_sectors[[#This Row],[sector_id]] = co_impactTypes[sector_id] ) )</f>
        <v>1</v>
      </c>
      <c r="O28" s="90" cm="1">
        <f t="array" ref="O28" xml:space="preserve"> IF( INDEX( co_impactYears[NA], MATCH( 1, --( co_sectors[[#This Row],[sector_id]] = co_impactYears[sector_id] ), 0 ) ) = "NA", 1, 2 )</f>
        <v>1</v>
      </c>
    </row>
    <row r="29" spans="1:21" ht="33.75" x14ac:dyDescent="0.2">
      <c r="B29" s="73">
        <f xml:space="preserve"> ROW( co_sectors[[#This Row],[row_id]] ) - ROW( co_sectors[[#Headers],[row_id]] )</f>
        <v>9</v>
      </c>
      <c r="C29" s="75" t="s">
        <v>271</v>
      </c>
      <c r="D29" s="23" t="s">
        <v>270</v>
      </c>
      <c r="E29" s="12">
        <v>1</v>
      </c>
      <c r="F29" s="14" t="s">
        <v>161</v>
      </c>
      <c r="G29" s="88"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8" t="str">
        <f ca="1" xml:space="preserve"> _xlfn.TEXTJOIN( ", ", 1,
  OFFSET( INDIRECT( ADDRESS( ROW( INDEX( co_impactYears[sector_id], MATCH( co_sectors[[#This Row],[sector_id]], co_impactYears[sector_id], 0 ) ) ),  COLUMN( co_impactYears[[#Headers],[sector_id]] ), , , "controlTables" ) ), 0, 1, 1, 4 )
)</f>
        <v>NA</v>
      </c>
      <c r="I29" s="88"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90" t="b" cm="1">
        <f t="array" ref="K29" xml:space="preserve"> SUMPRODUCT( --( co_sectors[[#This Row],[sector_id]] = co_impactTypes[sector_id] ), --IF( co_impactTypes[physicalmeasure] = "N/A", 0, 1) ) &gt;= 1</f>
        <v>0</v>
      </c>
      <c r="L29" s="90" t="b" cm="1">
        <f t="array" ref="L29" xml:space="preserve"> OR( SUMPRODUCT( --( co_sectors[[#This Row],[sector_id]] = co_impactTypes[sector_id] ), --IF( co_impactTypes[c0] &lt;&gt; 0, 1, 0) ) &gt;= 1,
      SUMPRODUCT( --( co_sectors[[#This Row],[sector_id]] = co_impactTypes[sector_id] ), --IF( co_impactTypes[c1] &lt;&gt; 0, 1, 0) ) &gt;= 1 )</f>
        <v>1</v>
      </c>
      <c r="M29" s="90" cm="1">
        <f t="array" ref="M29" xml:space="preserve"> SUMPRODUCT( --( co_sectors[[#This Row],[sector_id]] = co_variants[sector_id] ) )</f>
        <v>3</v>
      </c>
      <c r="N29" s="90" cm="1">
        <f t="array" ref="N29" xml:space="preserve"> SUMPRODUCT( --( co_sectors[[#This Row],[sector_id]] = co_impactTypes[sector_id] ) )</f>
        <v>1</v>
      </c>
      <c r="O29" s="90" cm="1">
        <f t="array" ref="O29" xml:space="preserve"> IF( INDEX( co_impactYears[NA], MATCH( 1, --( co_sectors[[#This Row],[sector_id]] = co_impactYears[sector_id] ), 0 ) ) = "NA", 1, 2 )</f>
        <v>1</v>
      </c>
    </row>
    <row r="30" spans="1:21" ht="22.5" x14ac:dyDescent="0.2">
      <c r="B30" s="73">
        <f xml:space="preserve"> ROW( co_sectors[[#This Row],[row_id]] ) - ROW( co_sectors[[#Headers],[row_id]] )</f>
        <v>10</v>
      </c>
      <c r="C30" s="70" t="s">
        <v>15</v>
      </c>
      <c r="D30" s="23" t="s">
        <v>36</v>
      </c>
      <c r="E30" s="11">
        <v>1</v>
      </c>
      <c r="F30" s="14" t="s">
        <v>161</v>
      </c>
      <c r="G30" s="88"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8" t="str">
        <f ca="1" xml:space="preserve"> _xlfn.TEXTJOIN( ", ", 1,
  OFFSET( INDIRECT( ADDRESS( ROW( INDEX( co_impactYears[sector_id], MATCH( co_sectors[[#This Row],[sector_id]], co_impactYears[sector_id], 0 ) ) ),  COLUMN( co_impactYears[[#Headers],[sector_id]] ), , , "controlTables" ) ), 0, 1, 1, 4 )
)</f>
        <v>2010, 2090</v>
      </c>
      <c r="I30" s="88"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90" t="b" cm="1">
        <f t="array" ref="K30" xml:space="preserve"> SUMPRODUCT( --( co_sectors[[#This Row],[sector_id]] = co_impactTypes[sector_id] ), --IF( co_impactTypes[physicalmeasure] = "N/A", 0, 1) ) &gt;= 1</f>
        <v>1</v>
      </c>
      <c r="L30" s="90" t="b" cm="1">
        <f t="array" ref="L30" xml:space="preserve"> OR( SUMPRODUCT( --( co_sectors[[#This Row],[sector_id]] = co_impactTypes[sector_id] ), --IF( co_impactTypes[c0] &lt;&gt; 0, 1, 0) ) &gt;= 1,
      SUMPRODUCT( --( co_sectors[[#This Row],[sector_id]] = co_impactTypes[sector_id] ), --IF( co_impactTypes[c1] &lt;&gt; 0, 1, 0) ) &gt;= 1 )</f>
        <v>1</v>
      </c>
      <c r="M30" s="90" cm="1">
        <f t="array" ref="M30" xml:space="preserve"> SUMPRODUCT( --( co_sectors[[#This Row],[sector_id]] = co_variants[sector_id] ) )</f>
        <v>2</v>
      </c>
      <c r="N30" s="90" cm="1">
        <f t="array" ref="N30" xml:space="preserve"> SUMPRODUCT( --( co_sectors[[#This Row],[sector_id]] = co_impactTypes[sector_id] ) )</f>
        <v>2</v>
      </c>
      <c r="O30" s="90" cm="1">
        <f t="array" ref="O30" xml:space="preserve"> IF( INDEX( co_impactYears[NA], MATCH( 1, --( co_sectors[[#This Row],[sector_id]] = co_impactYears[sector_id] ), 0 ) ) = "NA", 1, 2 )</f>
        <v>2</v>
      </c>
    </row>
    <row r="31" spans="1:21" x14ac:dyDescent="0.2">
      <c r="B31" s="73">
        <f xml:space="preserve"> ROW( co_sectors[[#This Row],[row_id]] ) - ROW( co_sectors[[#Headers],[row_id]] )</f>
        <v>11</v>
      </c>
      <c r="C31" s="75" t="s">
        <v>661</v>
      </c>
      <c r="D31" s="23" t="s">
        <v>662</v>
      </c>
      <c r="E31" s="12">
        <v>1</v>
      </c>
      <c r="F31" s="15" t="s">
        <v>161</v>
      </c>
      <c r="G31" s="88"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8" t="str">
        <f ca="1" xml:space="preserve"> _xlfn.TEXTJOIN( ", ", 1,
  OFFSET( INDIRECT( ADDRESS( ROW( INDEX( co_impactYears[sector_id], MATCH( co_sectors[[#This Row],[sector_id]], co_impactYears[sector_id], 0 ) ) ),  COLUMN( co_impactYears[[#Headers],[sector_id]] ), , , "controlTables" ) ), 0, 1, 1, 4 )
)</f>
        <v>NA</v>
      </c>
      <c r="I31" s="88"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90" t="b" cm="1">
        <f t="array" ref="K31" xml:space="preserve"> SUMPRODUCT( --( co_sectors[[#This Row],[sector_id]] = co_impactTypes[sector_id] ), --IF( co_impactTypes[physicalmeasure] = "N/A", 0, 1) ) &gt;= 1</f>
        <v>0</v>
      </c>
      <c r="L31" s="90" t="b" cm="1">
        <f t="array" ref="L31" xml:space="preserve"> OR( SUMPRODUCT( --( co_sectors[[#This Row],[sector_id]] = co_impactTypes[sector_id] ), --IF( co_impactTypes[c0] &lt;&gt; 0, 1, 0) ) &gt;= 1,
      SUMPRODUCT( --( co_sectors[[#This Row],[sector_id]] = co_impactTypes[sector_id] ), --IF( co_impactTypes[c1] &lt;&gt; 0, 1, 0) ) &gt;= 1 )</f>
        <v>1</v>
      </c>
      <c r="M31" s="90" cm="1">
        <f t="array" ref="M31" xml:space="preserve"> SUMPRODUCT( --( co_sectors[[#This Row],[sector_id]] = co_variants[sector_id] ) )</f>
        <v>2</v>
      </c>
      <c r="N31" s="90" cm="1">
        <f t="array" ref="N31" xml:space="preserve"> SUMPRODUCT( --( co_sectors[[#This Row],[sector_id]] = co_impactTypes[sector_id] ) )</f>
        <v>1</v>
      </c>
      <c r="O31" s="90" cm="1">
        <f t="array" ref="O31" xml:space="preserve"> IF( INDEX( co_impactYears[NA], MATCH( 1, --( co_sectors[[#This Row],[sector_id]] = co_impactYears[sector_id] ), 0 ) ) = "NA", 1, 2 )</f>
        <v>1</v>
      </c>
    </row>
    <row r="32" spans="1:21" ht="45" x14ac:dyDescent="0.2">
      <c r="B32" s="73">
        <f xml:space="preserve"> ROW( co_sectors[[#This Row],[row_id]] ) - ROW( co_sectors[[#Headers],[row_id]] )</f>
        <v>12</v>
      </c>
      <c r="C32" s="70" t="s">
        <v>58</v>
      </c>
      <c r="D32" s="23" t="s">
        <v>558</v>
      </c>
      <c r="E32" s="11">
        <v>1</v>
      </c>
      <c r="F32" s="15" t="s">
        <v>160</v>
      </c>
      <c r="G32" s="88"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8" t="str">
        <f ca="1" xml:space="preserve"> _xlfn.TEXTJOIN( ", ", 1,
  OFFSET( INDIRECT( ADDRESS( ROW( INDEX( co_impactYears[sector_id], MATCH( co_sectors[[#This Row],[sector_id]], co_impactYears[sector_id], 0 ) ) ),  COLUMN( co_impactYears[[#Headers],[sector_id]] ), , , "controlTables" ) ), 0, 1, 1, 4 )
)</f>
        <v>NA</v>
      </c>
      <c r="I32" s="88"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90" t="b" cm="1">
        <f t="array" ref="K32" xml:space="preserve"> SUMPRODUCT( --( co_sectors[[#This Row],[sector_id]] = co_impactTypes[sector_id] ), --IF( co_impactTypes[physicalmeasure] = "N/A", 0, 1) ) &gt;= 1</f>
        <v>0</v>
      </c>
      <c r="L32" s="90" t="b" cm="1">
        <f t="array" ref="L32" xml:space="preserve"> OR( SUMPRODUCT( --( co_sectors[[#This Row],[sector_id]] = co_impactTypes[sector_id] ), --IF( co_impactTypes[c0] &lt;&gt; 0, 1, 0) ) &gt;= 1,
      SUMPRODUCT( --( co_sectors[[#This Row],[sector_id]] = co_impactTypes[sector_id] ), --IF( co_impactTypes[c1] &lt;&gt; 0, 1, 0) ) &gt;= 1 )</f>
        <v>1</v>
      </c>
      <c r="M32" s="90" cm="1">
        <f t="array" ref="M32" xml:space="preserve"> SUMPRODUCT( --( co_sectors[[#This Row],[sector_id]] = co_variants[sector_id] ) )</f>
        <v>3</v>
      </c>
      <c r="N32" s="90" cm="1">
        <f t="array" ref="N32" xml:space="preserve"> SUMPRODUCT( --( co_sectors[[#This Row],[sector_id]] = co_impactTypes[sector_id] ) )</f>
        <v>1</v>
      </c>
      <c r="O32" s="90" cm="1">
        <f t="array" ref="O32" xml:space="preserve"> IF( INDEX( co_impactYears[NA], MATCH( 1, --( co_sectors[[#This Row],[sector_id]] = co_impactYears[sector_id] ), 0 ) ) = "NA", 1, 2 )</f>
        <v>1</v>
      </c>
    </row>
    <row r="33" spans="2:15" x14ac:dyDescent="0.2">
      <c r="B33" s="73">
        <f xml:space="preserve"> ROW( co_sectors[[#This Row],[row_id]] ) - ROW( co_sectors[[#Headers],[row_id]] )</f>
        <v>13</v>
      </c>
      <c r="C33" s="70" t="s">
        <v>19</v>
      </c>
      <c r="D33" s="23" t="s">
        <v>337</v>
      </c>
      <c r="E33" s="11">
        <v>1</v>
      </c>
      <c r="F33" s="15" t="s">
        <v>161</v>
      </c>
      <c r="G33" s="88"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8" t="str">
        <f ca="1" xml:space="preserve"> _xlfn.TEXTJOIN( ", ", 1,
  OFFSET( INDIRECT( ADDRESS( ROW( INDEX( co_impactYears[sector_id], MATCH( co_sectors[[#This Row],[sector_id]], co_impactYears[sector_id], 0 ) ) ),  COLUMN( co_impactYears[[#Headers],[sector_id]] ), , , "controlTables" ) ), 0, 1, 1, 4 )
)</f>
        <v>NA</v>
      </c>
      <c r="I33" s="88"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90" t="b" cm="1">
        <f t="array" ref="K33" xml:space="preserve"> SUMPRODUCT( --( co_sectors[[#This Row],[sector_id]] = co_impactTypes[sector_id] ), --IF( co_impactTypes[physicalmeasure] = "N/A", 0, 1) ) &gt;= 1</f>
        <v>0</v>
      </c>
      <c r="L33" s="90" t="b" cm="1">
        <f t="array" ref="L33" xml:space="preserve"> OR( SUMPRODUCT( --( co_sectors[[#This Row],[sector_id]] = co_impactTypes[sector_id] ), --IF( co_impactTypes[c0] &lt;&gt; 0, 1, 0) ) &gt;= 1,
      SUMPRODUCT( --( co_sectors[[#This Row],[sector_id]] = co_impactTypes[sector_id] ), --IF( co_impactTypes[c1] &lt;&gt; 0, 1, 0) ) &gt;= 1 )</f>
        <v>1</v>
      </c>
      <c r="M33" s="90" cm="1">
        <f t="array" ref="M33" xml:space="preserve"> SUMPRODUCT( --( co_sectors[[#This Row],[sector_id]] = co_variants[sector_id] ) )</f>
        <v>1</v>
      </c>
      <c r="N33" s="90" cm="1">
        <f t="array" ref="N33" xml:space="preserve"> SUMPRODUCT( --( co_sectors[[#This Row],[sector_id]] = co_impactTypes[sector_id] ) )</f>
        <v>1</v>
      </c>
      <c r="O33" s="90" cm="1">
        <f t="array" ref="O33" xml:space="preserve"> IF( INDEX( co_impactYears[NA], MATCH( 1, --( co_sectors[[#This Row],[sector_id]] = co_impactYears[sector_id] ), 0 ) ) = "NA", 1, 2 )</f>
        <v>1</v>
      </c>
    </row>
    <row r="34" spans="2:15" x14ac:dyDescent="0.2">
      <c r="B34" s="73">
        <f xml:space="preserve"> ROW( co_sectors[[#This Row],[row_id]] ) - ROW( co_sectors[[#Headers],[row_id]] )</f>
        <v>14</v>
      </c>
      <c r="C34" s="70" t="s">
        <v>18</v>
      </c>
      <c r="D34" s="23" t="s">
        <v>18</v>
      </c>
      <c r="E34" s="11">
        <v>1</v>
      </c>
      <c r="F34" s="14" t="s">
        <v>161</v>
      </c>
      <c r="G34" s="88"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8" t="str">
        <f ca="1" xml:space="preserve"> _xlfn.TEXTJOIN( ", ", 1,
  OFFSET( INDIRECT( ADDRESS( ROW( INDEX( co_impactYears[sector_id], MATCH( co_sectors[[#This Row],[sector_id]], co_impactYears[sector_id], 0 ) ) ),  COLUMN( co_impactYears[[#Headers],[sector_id]] ), , , "controlTables" ) ), 0, 1, 1, 4 )
)</f>
        <v>NA</v>
      </c>
      <c r="I34" s="88"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90" t="b" cm="1">
        <f t="array" ref="K34" xml:space="preserve"> SUMPRODUCT( --( co_sectors[[#This Row],[sector_id]] = co_impactTypes[sector_id] ), --IF( co_impactTypes[physicalmeasure] = "N/A", 0, 1) ) &gt;= 1</f>
        <v>1</v>
      </c>
      <c r="L34" s="90" t="b" cm="1">
        <f t="array" ref="L34" xml:space="preserve"> OR( SUMPRODUCT( --( co_sectors[[#This Row],[sector_id]] = co_impactTypes[sector_id] ), --IF( co_impactTypes[c0] &lt;&gt; 0, 1, 0) ) &gt;= 1,
      SUMPRODUCT( --( co_sectors[[#This Row],[sector_id]] = co_impactTypes[sector_id] ), --IF( co_impactTypes[c1] &lt;&gt; 0, 1, 0) ) &gt;= 1 )</f>
        <v>1</v>
      </c>
      <c r="M34" s="90" cm="1">
        <f t="array" ref="M34" xml:space="preserve"> SUMPRODUCT( --( co_sectors[[#This Row],[sector_id]] = co_variants[sector_id] ) )</f>
        <v>1</v>
      </c>
      <c r="N34" s="90" cm="1">
        <f t="array" ref="N34" xml:space="preserve"> SUMPRODUCT( --( co_sectors[[#This Row],[sector_id]] = co_impactTypes[sector_id] ) )</f>
        <v>1</v>
      </c>
      <c r="O34" s="90" cm="1">
        <f t="array" ref="O34" xml:space="preserve"> IF( INDEX( co_impactYears[NA], MATCH( 1, --( co_sectors[[#This Row],[sector_id]] = co_impactYears[sector_id] ), 0 ) ) = "NA", 1, 2 )</f>
        <v>1</v>
      </c>
    </row>
    <row r="35" spans="2:15" ht="30" customHeight="1" x14ac:dyDescent="0.2">
      <c r="B35" s="73">
        <f xml:space="preserve"> ROW( co_sectors[[#This Row],[row_id]] ) - ROW( co_sectors[[#Headers],[row_id]] )</f>
        <v>15</v>
      </c>
      <c r="C35" s="75" t="s">
        <v>677</v>
      </c>
      <c r="D35" s="23" t="s">
        <v>678</v>
      </c>
      <c r="E35" s="12">
        <v>1</v>
      </c>
      <c r="F35" s="15" t="s">
        <v>161</v>
      </c>
      <c r="G35" s="88" t="str" cm="1">
        <f t="array" aca="1" ref="G35" ca="1" xml:space="preserve"> _xlfn.TEXTJOIN( ", ", 1,
  IF( OFFSET( INDIRECT( ADDRESS( ROW( co_variants[[#Headers],[row_id]] ),  COLUMN( co_variants[[#Headers],[sector_id]] ), , , "controlTables" ) ), 1, 0, MAX( co_variants[row_id] ), 1 ) = co_sectors[[#This Row],[sector_id]], co_variants[variant_label], "" )
)</f>
        <v>No Adaptation, Proactive Adaptation</v>
      </c>
      <c r="H35" s="88" t="str">
        <f ca="1" xml:space="preserve"> _xlfn.TEXTJOIN( ", ", 1,
  OFFSET( INDIRECT( ADDRESS( ROW( INDEX( co_impactYears[sector_id], MATCH( co_sectors[[#This Row],[sector_id]], co_impactYears[sector_id], 0 ) ) ),  COLUMN( co_impactYears[[#Headers],[sector_id]] ), , , "controlTables" ) ), 0, 1, 1, 4 )
)</f>
        <v>NA</v>
      </c>
      <c r="I35" s="88"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Lost Future Earnings, Adaptation Costs</v>
      </c>
      <c r="J35" s="21">
        <f ca="1" xml:space="preserve"> IF( co_sectors[[#This Row],[impactYears]] = "NA", 0, 1)</f>
        <v>0</v>
      </c>
      <c r="K35" s="90" t="b" cm="1">
        <f t="array" ref="K35" xml:space="preserve"> SUMPRODUCT( --( co_sectors[[#This Row],[sector_id]] = co_impactTypes[sector_id] ), --IF( co_impactTypes[physicalmeasure] = "N/A", 0, 1) ) &gt;= 1</f>
        <v>0</v>
      </c>
      <c r="L35" s="90" t="b" cm="1">
        <f t="array" ref="L35" xml:space="preserve"> OR( SUMPRODUCT( --( co_sectors[[#This Row],[sector_id]] = co_impactTypes[sector_id] ), --IF( co_impactTypes[c0] &lt;&gt; 0, 1, 0) ) &gt;= 1,
      SUMPRODUCT( --( co_sectors[[#This Row],[sector_id]] = co_impactTypes[sector_id] ), --IF( co_impactTypes[c1] &lt;&gt; 0, 1, 0) ) &gt;= 1 )</f>
        <v>1</v>
      </c>
      <c r="M35" s="91" cm="1">
        <f t="array" ref="M35" xml:space="preserve"> SUMPRODUCT( --( co_sectors[[#This Row],[sector_id]] = co_variants[sector_id] ) )</f>
        <v>2</v>
      </c>
      <c r="N35" s="91" cm="1">
        <f t="array" ref="N35" xml:space="preserve"> SUMPRODUCT( --( co_sectors[[#This Row],[sector_id]] = co_impactTypes[sector_id] ) )</f>
        <v>2</v>
      </c>
      <c r="O35" s="91" cm="1">
        <f t="array" ref="O35" xml:space="preserve"> IF( INDEX( co_impactYears[NA], MATCH( 1, --( co_sectors[[#This Row],[sector_id]] = co_impactYears[sector_id] ), 0 ) ) = "NA", 1, 2 )</f>
        <v>1</v>
      </c>
    </row>
    <row r="36" spans="2:15" x14ac:dyDescent="0.2">
      <c r="B36" s="73">
        <f xml:space="preserve"> ROW( co_sectors[[#This Row],[row_id]] ) - ROW( co_sectors[[#Headers],[row_id]] )</f>
        <v>16</v>
      </c>
      <c r="C36" s="75" t="s">
        <v>628</v>
      </c>
      <c r="D36" s="23" t="s">
        <v>629</v>
      </c>
      <c r="E36" s="12">
        <v>1</v>
      </c>
      <c r="F36" s="15" t="s">
        <v>161</v>
      </c>
      <c r="G36" s="88"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8" t="str">
        <f ca="1" xml:space="preserve"> _xlfn.TEXTJOIN( ", ", 1,
  OFFSET( INDIRECT( ADDRESS( ROW( INDEX( co_impactYears[sector_id], MATCH( co_sectors[[#This Row],[sector_id]], co_impactYears[sector_id], 0 ) ) ),  COLUMN( co_impactYears[[#Headers],[sector_id]] ), , , "controlTables" ) ), 0, 1, 1, 4 )
)</f>
        <v>NA</v>
      </c>
      <c r="I36" s="88"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90" t="b" cm="1">
        <f t="array" ref="K36" xml:space="preserve"> SUMPRODUCT( --( co_sectors[[#This Row],[sector_id]] = co_impactTypes[sector_id] ), --IF( co_impactTypes[physicalmeasure] = "N/A", 0, 1) ) &gt;= 1</f>
        <v>1</v>
      </c>
      <c r="L36" s="90" t="b" cm="1">
        <f t="array" ref="L36" xml:space="preserve"> OR( SUMPRODUCT( --( co_sectors[[#This Row],[sector_id]] = co_impactTypes[sector_id] ), --IF( co_impactTypes[c0] &lt;&gt; 0, 1, 0) ) &gt;= 1,
      SUMPRODUCT( --( co_sectors[[#This Row],[sector_id]] = co_impactTypes[sector_id] ), --IF( co_impactTypes[c1] &lt;&gt; 0, 1, 0) ) &gt;= 1 )</f>
        <v>1</v>
      </c>
      <c r="M36" s="90" cm="1">
        <f t="array" ref="M36" xml:space="preserve"> SUMPRODUCT( --( co_sectors[[#This Row],[sector_id]] = co_variants[sector_id] ) )</f>
        <v>1</v>
      </c>
      <c r="N36" s="90" cm="1">
        <f t="array" ref="N36" xml:space="preserve"> SUMPRODUCT( --( co_sectors[[#This Row],[sector_id]] = co_impactTypes[sector_id] ) )</f>
        <v>1</v>
      </c>
      <c r="O36" s="90" cm="1">
        <f t="array" ref="O36" xml:space="preserve"> IF( INDEX( co_impactYears[NA], MATCH( 1, --( co_sectors[[#This Row],[sector_id]] = co_impactYears[sector_id] ), 0 ) ) = "NA", 1, 2 )</f>
        <v>1</v>
      </c>
    </row>
    <row r="37" spans="2:15" x14ac:dyDescent="0.2">
      <c r="B37" s="73">
        <f xml:space="preserve"> ROW( co_sectors[[#This Row],[row_id]] ) - ROW( co_sectors[[#Headers],[row_id]] )</f>
        <v>17</v>
      </c>
      <c r="C37" s="74" t="s">
        <v>59</v>
      </c>
      <c r="D37" s="66" t="s">
        <v>353</v>
      </c>
      <c r="E37" s="67">
        <v>1</v>
      </c>
      <c r="F37" s="64" t="s">
        <v>161</v>
      </c>
      <c r="G37" s="88" t="str" cm="1">
        <f t="array" aca="1" ref="G37" ca="1" xml:space="preserve"> _xlfn.TEXTJOIN( ", ", 1,
  IF( OFFSET( INDIRECT( ADDRESS( ROW( co_variants[[#Headers],[row_id]] ),  COLUMN( co_variants[[#Headers],[sector_id]] ), , , "controlTables" ) ), 1, 0, MAX( co_variants[row_id] ), 1 ) = co_sectors[[#This Row],[sector_id]], co_variants[variant_label], "" )
)</f>
        <v>N/A</v>
      </c>
      <c r="H37" s="88" t="str">
        <f ca="1" xml:space="preserve"> _xlfn.TEXTJOIN( ", ", 1,
  OFFSET( INDIRECT( ADDRESS( ROW( INDEX( co_impactYears[sector_id], MATCH( co_sectors[[#This Row],[sector_id]], co_impactYears[sector_id], 0 ) ) ),  COLUMN( co_impactYears[[#Headers],[sector_id]] ), , , "controlTables" ) ), 0, 1, 1, 4 )
)</f>
        <v>NA</v>
      </c>
      <c r="I37" s="88"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90" t="b" cm="1">
        <f t="array" ref="K37" xml:space="preserve"> SUMPRODUCT( --( co_sectors[[#This Row],[sector_id]] = co_impactTypes[sector_id] ), --IF( co_impactTypes[physicalmeasure] = "N/A", 0, 1) ) &gt;= 1</f>
        <v>0</v>
      </c>
      <c r="L37" s="90" t="b" cm="1">
        <f t="array" ref="L37" xml:space="preserve"> OR( SUMPRODUCT( --( co_sectors[[#This Row],[sector_id]] = co_impactTypes[sector_id] ), --IF( co_impactTypes[c0] &lt;&gt; 0, 1, 0) ) &gt;= 1,
      SUMPRODUCT( --( co_sectors[[#This Row],[sector_id]] = co_impactTypes[sector_id] ), --IF( co_impactTypes[c1] &lt;&gt; 0, 1, 0) ) &gt;= 1 )</f>
        <v>1</v>
      </c>
      <c r="M37" s="90" cm="1">
        <f t="array" ref="M37" xml:space="preserve"> SUMPRODUCT( --( co_sectors[[#This Row],[sector_id]] = co_variants[sector_id] ) )</f>
        <v>1</v>
      </c>
      <c r="N37" s="90" cm="1">
        <f t="array" ref="N37" xml:space="preserve"> SUMPRODUCT( --( co_sectors[[#This Row],[sector_id]] = co_impactTypes[sector_id] ) )</f>
        <v>1</v>
      </c>
      <c r="O37" s="90" cm="1">
        <f t="array" ref="O37" xml:space="preserve"> IF( INDEX( co_impactYears[NA], MATCH( 1, --( co_sectors[[#This Row],[sector_id]] = co_impactYears[sector_id] ), 0 ) ) = "NA", 1, 2 )</f>
        <v>1</v>
      </c>
    </row>
    <row r="38" spans="2:15" ht="33.75" x14ac:dyDescent="0.2">
      <c r="B38" s="73">
        <f xml:space="preserve"> ROW( co_sectors[[#This Row],[row_id]] ) - ROW( co_sectors[[#Headers],[row_id]] )</f>
        <v>18</v>
      </c>
      <c r="C38" s="75" t="s">
        <v>622</v>
      </c>
      <c r="D38" s="23" t="s">
        <v>626</v>
      </c>
      <c r="E38" s="12">
        <v>1</v>
      </c>
      <c r="F38" s="15" t="s">
        <v>160</v>
      </c>
      <c r="G38" s="88"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8" t="str">
        <f ca="1" xml:space="preserve"> _xlfn.TEXTJOIN( ", ", 1,
  OFFSET( INDIRECT( ADDRESS( ROW( INDEX( co_impactYears[sector_id], MATCH( co_sectors[[#This Row],[sector_id]], co_impactYears[sector_id], 0 ) ) ),  COLUMN( co_impactYears[[#Headers],[sector_id]] ), , , "controlTables" ) ), 0, 1, 1, 4 )
)</f>
        <v>NA</v>
      </c>
      <c r="I38" s="88"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8" s="21">
        <f ca="1" xml:space="preserve"> IF( co_sectors[[#This Row],[impactYears]] = "NA", 0, 1)</f>
        <v>0</v>
      </c>
      <c r="K38" s="90" t="b" cm="1">
        <f t="array" ref="K38" xml:space="preserve"> SUMPRODUCT( --( co_sectors[[#This Row],[sector_id]] = co_impactTypes[sector_id] ), --IF( co_impactTypes[physicalmeasure] = "N/A", 0, 1) ) &gt;= 1</f>
        <v>0</v>
      </c>
      <c r="L38" s="90" t="b" cm="1">
        <f t="array" ref="L38" xml:space="preserve"> OR( SUMPRODUCT( --( co_sectors[[#This Row],[sector_id]] = co_impactTypes[sector_id] ), --IF( co_impactTypes[c0] &lt;&gt; 0, 1, 0) ) &gt;= 1,
      SUMPRODUCT( --( co_sectors[[#This Row],[sector_id]] = co_impactTypes[sector_id] ), --IF( co_impactTypes[c1] &lt;&gt; 0, 1, 0) ) &gt;= 1 )</f>
        <v>1</v>
      </c>
      <c r="M38" s="90" cm="1">
        <f t="array" ref="M38" xml:space="preserve"> SUMPRODUCT( --( co_sectors[[#This Row],[sector_id]] = co_variants[sector_id] ) )</f>
        <v>3</v>
      </c>
      <c r="N38" s="90" cm="1">
        <f t="array" ref="N38" xml:space="preserve"> SUMPRODUCT( --( co_sectors[[#This Row],[sector_id]] = co_impactTypes[sector_id] ) )</f>
        <v>1</v>
      </c>
      <c r="O38" s="90" cm="1">
        <f t="array" ref="O38" xml:space="preserve"> IF( INDEX( co_impactYears[NA], MATCH( 1, --( co_sectors[[#This Row],[sector_id]] = co_impactYears[sector_id] ), 0 ) ) = "NA", 1, 2 )</f>
        <v>1</v>
      </c>
    </row>
    <row r="39" spans="2:15" ht="56.25" x14ac:dyDescent="0.2">
      <c r="B39" s="73">
        <f xml:space="preserve"> ROW( co_sectors[[#This Row],[row_id]] ) - ROW( co_sectors[[#Headers],[row_id]] )</f>
        <v>19</v>
      </c>
      <c r="C39" s="75" t="s">
        <v>621</v>
      </c>
      <c r="D39" s="23" t="s">
        <v>627</v>
      </c>
      <c r="E39" s="12">
        <v>1</v>
      </c>
      <c r="F39" s="15" t="s">
        <v>160</v>
      </c>
      <c r="G39" s="88" t="str" cm="1">
        <f t="array" aca="1" ref="G39"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9" s="88" t="str">
        <f ca="1" xml:space="preserve"> _xlfn.TEXTJOIN( ", ", 1,
  OFFSET( INDIRECT( ADDRESS( ROW( INDEX( co_impactYears[sector_id], MATCH( co_sectors[[#This Row],[sector_id]], co_impactYears[sector_id], 0 ) ) ),  COLUMN( co_impactYears[[#Headers],[sector_id]] ), , , "controlTables" ) ), 0, 1, 1, 4 )
)</f>
        <v>NA</v>
      </c>
      <c r="I39" s="88"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9" s="21">
        <f ca="1" xml:space="preserve"> IF( co_sectors[[#This Row],[impactYears]] = "NA", 0, 1)</f>
        <v>0</v>
      </c>
      <c r="K39" s="90" t="b" cm="1">
        <f t="array" ref="K39" xml:space="preserve"> SUMPRODUCT( --( co_sectors[[#This Row],[sector_id]] = co_impactTypes[sector_id] ), --IF( co_impactTypes[physicalmeasure] = "N/A", 0, 1) ) &gt;= 1</f>
        <v>1</v>
      </c>
      <c r="L39" s="90" t="b" cm="1">
        <f t="array" ref="L39" xml:space="preserve"> OR( SUMPRODUCT( --( co_sectors[[#This Row],[sector_id]] = co_impactTypes[sector_id] ), --IF( co_impactTypes[c0] &lt;&gt; 0, 1, 0) ) &gt;= 1,
      SUMPRODUCT( --( co_sectors[[#This Row],[sector_id]] = co_impactTypes[sector_id] ), --IF( co_impactTypes[c1] &lt;&gt; 0, 1, 0) ) &gt;= 1 )</f>
        <v>1</v>
      </c>
      <c r="M39" s="90" cm="1">
        <f t="array" ref="M39" xml:space="preserve"> SUMPRODUCT( --( co_sectors[[#This Row],[sector_id]] = co_variants[sector_id] ) )</f>
        <v>3</v>
      </c>
      <c r="N39" s="90" cm="1">
        <f t="array" ref="N39" xml:space="preserve"> SUMPRODUCT( --( co_sectors[[#This Row],[sector_id]] = co_impactTypes[sector_id] ) )</f>
        <v>4</v>
      </c>
      <c r="O39" s="90" cm="1">
        <f t="array" ref="O39" xml:space="preserve"> IF( INDEX( co_impactYears[NA], MATCH( 1, --( co_sectors[[#This Row],[sector_id]] = co_impactYears[sector_id] ), 0 ) ) = "NA", 1, 2 )</f>
        <v>1</v>
      </c>
    </row>
    <row r="40" spans="2:15" ht="56.25" x14ac:dyDescent="0.2">
      <c r="B40" s="73">
        <f xml:space="preserve"> ROW( co_sectors[[#This Row],[row_id]] ) - ROW( co_sectors[[#Headers],[row_id]] )</f>
        <v>20</v>
      </c>
      <c r="C40" s="75" t="s">
        <v>634</v>
      </c>
      <c r="D40" s="23" t="s">
        <v>660</v>
      </c>
      <c r="E40" s="12">
        <v>1</v>
      </c>
      <c r="F40" s="15" t="s">
        <v>161</v>
      </c>
      <c r="G40" s="88" t="str" cm="1">
        <f t="array" aca="1" ref="G40"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40" s="88" t="str">
        <f ca="1" xml:space="preserve"> _xlfn.TEXTJOIN( ", ", 1,
  OFFSET( INDIRECT( ADDRESS( ROW( INDEX( co_impactYears[sector_id], MATCH( co_sectors[[#This Row],[sector_id]], co_impactYears[sector_id], 0 ) ) ),  COLUMN( co_impactYears[[#Headers],[sector_id]] ), , , "controlTables" ) ), 0, 1, 1, 4 )
)</f>
        <v>NA</v>
      </c>
      <c r="I40" s="88"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40" s="21">
        <f ca="1" xml:space="preserve"> IF( co_sectors[[#This Row],[impactYears]] = "NA", 0, 1)</f>
        <v>0</v>
      </c>
      <c r="K40" s="90" t="b" cm="1">
        <f t="array" ref="K40" xml:space="preserve"> SUMPRODUCT( --( co_sectors[[#This Row],[sector_id]] = co_impactTypes[sector_id] ), --IF( co_impactTypes[physicalmeasure] = "N/A", 0, 1) ) &gt;= 1</f>
        <v>1</v>
      </c>
      <c r="L40" s="90" t="b" cm="1">
        <f t="array" ref="L40" xml:space="preserve"> OR( SUMPRODUCT( --( co_sectors[[#This Row],[sector_id]] = co_impactTypes[sector_id] ), --IF( co_impactTypes[c0] &lt;&gt; 0, 1, 0) ) &gt;= 1,
      SUMPRODUCT( --( co_sectors[[#This Row],[sector_id]] = co_impactTypes[sector_id] ), --IF( co_impactTypes[c1] &lt;&gt; 0, 1, 0) ) &gt;= 1 )</f>
        <v>1</v>
      </c>
      <c r="M40" s="90" cm="1">
        <f t="array" ref="M40" xml:space="preserve"> SUMPRODUCT( --( co_sectors[[#This Row],[sector_id]] = co_variants[sector_id] ) )</f>
        <v>2</v>
      </c>
      <c r="N40" s="90" cm="1">
        <f t="array" ref="N40" xml:space="preserve"> SUMPRODUCT( --( co_sectors[[#This Row],[sector_id]] = co_impactTypes[sector_id] ) )</f>
        <v>5</v>
      </c>
      <c r="O40" s="90" cm="1">
        <f t="array" ref="O40" xml:space="preserve"> IF( INDEX( co_impactYears[NA], MATCH( 1, --( co_sectors[[#This Row],[sector_id]] = co_impactYears[sector_id] ), 0 ) ) = "NA", 1, 2 )</f>
        <v>1</v>
      </c>
    </row>
    <row r="41" spans="2:15" x14ac:dyDescent="0.2">
      <c r="B41" s="73">
        <f xml:space="preserve"> ROW( co_sectors[[#This Row],[row_id]] ) - ROW( co_sectors[[#Headers],[row_id]] )</f>
        <v>21</v>
      </c>
      <c r="C41" s="75" t="s">
        <v>555</v>
      </c>
      <c r="D41" s="23" t="s">
        <v>555</v>
      </c>
      <c r="E41" s="12">
        <v>1</v>
      </c>
      <c r="F41" s="15" t="s">
        <v>161</v>
      </c>
      <c r="G41" s="88"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8" t="str">
        <f ca="1" xml:space="preserve"> _xlfn.TEXTJOIN( ", ", 1,
  OFFSET( INDIRECT( ADDRESS( ROW( INDEX( co_impactYears[sector_id], MATCH( co_sectors[[#This Row],[sector_id]], co_impactYears[sector_id], 0 ) ) ),  COLUMN( co_impactYears[[#Headers],[sector_id]] ), , , "controlTables" ) ), 0, 1, 1, 4 )
)</f>
        <v>NA</v>
      </c>
      <c r="I41" s="88"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90" t="b" cm="1">
        <f t="array" ref="K41" xml:space="preserve"> SUMPRODUCT( --( co_sectors[[#This Row],[sector_id]] = co_impactTypes[sector_id] ), --IF( co_impactTypes[physicalmeasure] = "N/A", 0, 1) ) &gt;= 1</f>
        <v>1</v>
      </c>
      <c r="L41" s="90" t="b" cm="1">
        <f t="array" ref="L41" xml:space="preserve"> OR( SUMPRODUCT( --( co_sectors[[#This Row],[sector_id]] = co_impactTypes[sector_id] ), --IF( co_impactTypes[c0] &lt;&gt; 0, 1, 0) ) &gt;= 1,
      SUMPRODUCT( --( co_sectors[[#This Row],[sector_id]] = co_impactTypes[sector_id] ), --IF( co_impactTypes[c1] &lt;&gt; 0, 1, 0) ) &gt;= 1 )</f>
        <v>1</v>
      </c>
      <c r="M41" s="90" cm="1">
        <f t="array" ref="M41" xml:space="preserve"> SUMPRODUCT( --( co_sectors[[#This Row],[sector_id]] = co_variants[sector_id] ) )</f>
        <v>1</v>
      </c>
      <c r="N41" s="90" cm="1">
        <f t="array" ref="N41" xml:space="preserve"> SUMPRODUCT( --( co_sectors[[#This Row],[sector_id]] = co_impactTypes[sector_id] ) )</f>
        <v>1</v>
      </c>
      <c r="O41" s="90" cm="1">
        <f t="array" ref="O41" xml:space="preserve"> IF( INDEX( co_impactYears[NA], MATCH( 1, --( co_sectors[[#This Row],[sector_id]] = co_impactYears[sector_id] ), 0 ) ) = "NA", 1, 2 )</f>
        <v>1</v>
      </c>
    </row>
    <row r="42" spans="2:15" ht="33.75" x14ac:dyDescent="0.2">
      <c r="B42" s="71">
        <f xml:space="preserve"> ROW( co_sectors[[#This Row],[row_id]] ) - ROW( co_sectors[[#Headers],[row_id]] )</f>
        <v>22</v>
      </c>
      <c r="C42" s="72" t="s">
        <v>46</v>
      </c>
      <c r="D42" s="24" t="s">
        <v>46</v>
      </c>
      <c r="E42" s="12">
        <v>1</v>
      </c>
      <c r="F42" s="14" t="s">
        <v>161</v>
      </c>
      <c r="G42" s="88"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8" t="str">
        <f ca="1" xml:space="preserve"> _xlfn.TEXTJOIN( ", ", 1,
  OFFSET( INDIRECT( ADDRESS( ROW( INDEX( co_impactYears[sector_id], MATCH( co_sectors[[#This Row],[sector_id]], co_impactYears[sector_id], 0 ) ) ),  COLUMN( co_impactYears[[#Headers],[sector_id]] ), , , "controlTables" ) ), 0, 1, 1, 4 )
)</f>
        <v>NA</v>
      </c>
      <c r="I42" s="88"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90" t="b" cm="1">
        <f t="array" ref="K42" xml:space="preserve"> SUMPRODUCT( --( co_sectors[[#This Row],[sector_id]] = co_impactTypes[sector_id] ), --IF( co_impactTypes[physicalmeasure] = "N/A", 0, 1) ) &gt;= 1</f>
        <v>1</v>
      </c>
      <c r="L42" s="90" t="b" cm="1">
        <f t="array" ref="L42" xml:space="preserve"> OR( SUMPRODUCT( --( co_sectors[[#This Row],[sector_id]] = co_impactTypes[sector_id] ), --IF( co_impactTypes[c0] &lt;&gt; 0, 1, 0) ) &gt;= 1,
      SUMPRODUCT( --( co_sectors[[#This Row],[sector_id]] = co_impactTypes[sector_id] ), --IF( co_impactTypes[c1] &lt;&gt; 0, 1, 0) ) &gt;= 1 )</f>
        <v>1</v>
      </c>
      <c r="M42" s="90" cm="1">
        <f t="array" ref="M42" xml:space="preserve"> SUMPRODUCT( --( co_sectors[[#This Row],[sector_id]] = co_variants[sector_id] ) )</f>
        <v>3</v>
      </c>
      <c r="N42" s="90" cm="1">
        <f t="array" ref="N42" xml:space="preserve"> SUMPRODUCT( --( co_sectors[[#This Row],[sector_id]] = co_impactTypes[sector_id] ) )</f>
        <v>1</v>
      </c>
      <c r="O42" s="90" cm="1">
        <f t="array" ref="O42" xml:space="preserve"> IF( INDEX( co_impactYears[NA], MATCH( 1, --( co_sectors[[#This Row],[sector_id]] = co_impactYears[sector_id] ), 0 ) ) = "NA", 1, 2 )</f>
        <v>1</v>
      </c>
    </row>
    <row r="43" spans="2:15" ht="33.75" x14ac:dyDescent="0.2">
      <c r="B43" s="73">
        <f xml:space="preserve"> ROW( co_sectors[[#This Row],[row_id]] ) - ROW( co_sectors[[#Headers],[row_id]] )</f>
        <v>23</v>
      </c>
      <c r="C43" s="70" t="s">
        <v>53</v>
      </c>
      <c r="D43" s="23" t="s">
        <v>53</v>
      </c>
      <c r="E43" s="13">
        <v>1</v>
      </c>
      <c r="F43" s="14" t="s">
        <v>161</v>
      </c>
      <c r="G43" s="88" t="str" cm="1">
        <f t="array" aca="1" ref="G43"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3" s="88" t="str">
        <f ca="1" xml:space="preserve"> _xlfn.TEXTJOIN( ", ", 1,
  OFFSET( INDIRECT( ADDRESS( ROW( INDEX( co_impactYears[sector_id], MATCH( co_sectors[[#This Row],[sector_id]], co_impactYears[sector_id], 0 ) ) ),  COLUMN( co_impactYears[[#Headers],[sector_id]] ), , , "controlTables" ) ), 0, 1, 1, 4 )
)</f>
        <v>NA</v>
      </c>
      <c r="I43" s="88"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N/A</v>
      </c>
      <c r="J43" s="21">
        <f ca="1" xml:space="preserve"> IF( co_sectors[[#This Row],[impactYears]] = "NA", 0, 1)</f>
        <v>0</v>
      </c>
      <c r="K43" s="90" t="b" cm="1">
        <f t="array" ref="K43" xml:space="preserve"> SUMPRODUCT( --( co_sectors[[#This Row],[sector_id]] = co_impactTypes[sector_id] ), --IF( co_impactTypes[physicalmeasure] = "N/A", 0, 1) ) &gt;= 1</f>
        <v>1</v>
      </c>
      <c r="L43" s="90" t="b" cm="1">
        <f t="array" ref="L43" xml:space="preserve"> OR( SUMPRODUCT( --( co_sectors[[#This Row],[sector_id]] = co_impactTypes[sector_id] ), --IF( co_impactTypes[c0] &lt;&gt; 0, 1, 0) ) &gt;= 1,
      SUMPRODUCT( --( co_sectors[[#This Row],[sector_id]] = co_impactTypes[sector_id] ), --IF( co_impactTypes[c1] &lt;&gt; 0, 1, 0) ) &gt;= 1 )</f>
        <v>1</v>
      </c>
      <c r="M43" s="90" cm="1">
        <f t="array" ref="M43" xml:space="preserve"> SUMPRODUCT( --( co_sectors[[#This Row],[sector_id]] = co_variants[sector_id] ) )</f>
        <v>3</v>
      </c>
      <c r="N43" s="90" cm="1">
        <f t="array" ref="N43" xml:space="preserve"> SUMPRODUCT( --( co_sectors[[#This Row],[sector_id]] = co_impactTypes[sector_id] ) )</f>
        <v>1</v>
      </c>
      <c r="O43" s="90" cm="1">
        <f t="array" ref="O43" xml:space="preserve"> IF( INDEX( co_impactYears[NA], MATCH( 1, --( co_sectors[[#This Row],[sector_id]] = co_impactYears[sector_id] ), 0 ) ) = "NA", 1, 2 )</f>
        <v>1</v>
      </c>
    </row>
    <row r="44" spans="2:15" ht="56.25" x14ac:dyDescent="0.2">
      <c r="B44" s="71">
        <f xml:space="preserve"> ROW( co_sectors[[#This Row],[row_id]] ) - ROW( co_sectors[[#Headers],[row_id]] )</f>
        <v>24</v>
      </c>
      <c r="C44" s="72" t="s">
        <v>20</v>
      </c>
      <c r="D44" s="24" t="s">
        <v>34</v>
      </c>
      <c r="E44" s="13">
        <v>1</v>
      </c>
      <c r="F44" s="14" t="s">
        <v>161</v>
      </c>
      <c r="G44" s="88"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8" t="str">
        <f ca="1" xml:space="preserve"> _xlfn.TEXTJOIN( ", ", 1,
  OFFSET( INDIRECT( ADDRESS( ROW( INDEX( co_impactYears[sector_id], MATCH( co_sectors[[#This Row],[sector_id]], co_impactYears[sector_id], 0 ) ) ),  COLUMN( co_impactYears[[#Headers],[sector_id]] ), , , "controlTables" ) ), 0, 1, 1, 4 )
)</f>
        <v>2010, 2090</v>
      </c>
      <c r="I44" s="88"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4" s="21">
        <f ca="1" xml:space="preserve"> IF( co_sectors[[#This Row],[impactYears]] = "NA", 0, 1)</f>
        <v>1</v>
      </c>
      <c r="K44" s="90" t="b" cm="1">
        <f t="array" ref="K44" xml:space="preserve"> SUMPRODUCT( --( co_sectors[[#This Row],[sector_id]] = co_impactTypes[sector_id] ), --IF( co_impactTypes[physicalmeasure] = "N/A", 0, 1) ) &gt;= 1</f>
        <v>1</v>
      </c>
      <c r="L44" s="90" t="b" cm="1">
        <f t="array" ref="L44" xml:space="preserve"> OR( SUMPRODUCT( --( co_sectors[[#This Row],[sector_id]] = co_impactTypes[sector_id] ), --IF( co_impactTypes[c0] &lt;&gt; 0, 1, 0) ) &gt;= 1,
      SUMPRODUCT( --( co_sectors[[#This Row],[sector_id]] = co_impactTypes[sector_id] ), --IF( co_impactTypes[c1] &lt;&gt; 0, 1, 0) ) &gt;= 1 )</f>
        <v>1</v>
      </c>
      <c r="M44" s="90" cm="1">
        <f t="array" ref="M44" xml:space="preserve"> SUMPRODUCT( --( co_sectors[[#This Row],[sector_id]] = co_variants[sector_id] ) )</f>
        <v>1</v>
      </c>
      <c r="N44" s="90" cm="1">
        <f t="array" ref="N44" xml:space="preserve"> SUMPRODUCT( --( co_sectors[[#This Row],[sector_id]] = co_impactTypes[sector_id] ) )</f>
        <v>5</v>
      </c>
      <c r="O44" s="90" cm="1">
        <f t="array" ref="O44" xml:space="preserve"> IF( INDEX( co_impactYears[NA], MATCH( 1, --( co_sectors[[#This Row],[sector_id]] = co_impactYears[sector_id] ), 0 ) ) = "NA", 1, 2 )</f>
        <v>2</v>
      </c>
    </row>
    <row r="45" spans="2:15" x14ac:dyDescent="0.2">
      <c r="B45" s="73">
        <f xml:space="preserve"> ROW( co_sectors[[#This Row],[row_id]] ) - ROW( co_sectors[[#Headers],[row_id]] )</f>
        <v>25</v>
      </c>
      <c r="C45" s="75" t="s">
        <v>61</v>
      </c>
      <c r="D45" s="23" t="s">
        <v>62</v>
      </c>
      <c r="E45" s="12">
        <v>1</v>
      </c>
      <c r="F45" s="14" t="s">
        <v>161</v>
      </c>
      <c r="G45" s="88"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8" t="str">
        <f ca="1" xml:space="preserve"> _xlfn.TEXTJOIN( ", ", 1,
  OFFSET( INDIRECT( ADDRESS( ROW( INDEX( co_impactYears[sector_id], MATCH( co_sectors[[#This Row],[sector_id]], co_impactYears[sector_id], 0 ) ) ),  COLUMN( co_impactYears[[#Headers],[sector_id]] ), , , "controlTables" ) ), 0, 1, 1, 4 )
)</f>
        <v>NA</v>
      </c>
      <c r="I45" s="88"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N/A</v>
      </c>
      <c r="J45" s="21">
        <f ca="1" xml:space="preserve"> IF( co_sectors[[#This Row],[impactYears]] = "NA", 0, 1)</f>
        <v>0</v>
      </c>
      <c r="K45" s="90" t="b" cm="1">
        <f t="array" ref="K45" xml:space="preserve"> SUMPRODUCT( --( co_sectors[[#This Row],[sector_id]] = co_impactTypes[sector_id] ), --IF( co_impactTypes[physicalmeasure] = "N/A", 0, 1) ) &gt;= 1</f>
        <v>0</v>
      </c>
      <c r="L45" s="90" t="b" cm="1">
        <f t="array" ref="L45" xml:space="preserve"> OR( SUMPRODUCT( --( co_sectors[[#This Row],[sector_id]] = co_impactTypes[sector_id] ), --IF( co_impactTypes[c0] &lt;&gt; 0, 1, 0) ) &gt;= 1,
      SUMPRODUCT( --( co_sectors[[#This Row],[sector_id]] = co_impactTypes[sector_id] ), --IF( co_impactTypes[c1] &lt;&gt; 0, 1, 0) ) &gt;= 1 )</f>
        <v>1</v>
      </c>
      <c r="M45" s="90" cm="1">
        <f t="array" ref="M45" xml:space="preserve"> SUMPRODUCT( --( co_sectors[[#This Row],[sector_id]] = co_variants[sector_id] ) )</f>
        <v>1</v>
      </c>
      <c r="N45" s="90" cm="1">
        <f t="array" ref="N45" xml:space="preserve"> SUMPRODUCT( --( co_sectors[[#This Row],[sector_id]] = co_impactTypes[sector_id] ) )</f>
        <v>1</v>
      </c>
      <c r="O45" s="90" cm="1">
        <f t="array" ref="O45" xml:space="preserve"> IF( INDEX( co_impactYears[NA], MATCH( 1, --( co_sectors[[#This Row],[sector_id]] = co_impactYears[sector_id] ), 0 ) ) = "NA", 1, 2 )</f>
        <v>1</v>
      </c>
    </row>
    <row r="46" spans="2:15" ht="22.5" x14ac:dyDescent="0.2">
      <c r="B46" s="71">
        <f xml:space="preserve"> ROW( co_sectors[[#This Row],[row_id]] ) - ROW( co_sectors[[#Headers],[row_id]] )</f>
        <v>26</v>
      </c>
      <c r="C46" s="72" t="s">
        <v>252</v>
      </c>
      <c r="D46" s="24" t="s">
        <v>253</v>
      </c>
      <c r="E46" s="13">
        <v>1</v>
      </c>
      <c r="F46" s="15" t="s">
        <v>161</v>
      </c>
      <c r="G46" s="88"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8" t="str">
        <f ca="1" xml:space="preserve"> _xlfn.TEXTJOIN( ", ", 1,
  OFFSET( INDIRECT( ADDRESS( ROW( INDEX( co_impactYears[sector_id], MATCH( co_sectors[[#This Row],[sector_id]], co_impactYears[sector_id], 0 ) ) ),  COLUMN( co_impactYears[[#Headers],[sector_id]] ), , , "controlTables" ) ), 0, 1, 1, 4 )
)</f>
        <v>NA</v>
      </c>
      <c r="I46" s="88"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6" s="21">
        <f ca="1" xml:space="preserve"> IF( co_sectors[[#This Row],[impactYears]] = "NA", 0, 1)</f>
        <v>0</v>
      </c>
      <c r="K46" s="90" t="b" cm="1">
        <f t="array" ref="K46" xml:space="preserve"> SUMPRODUCT( --( co_sectors[[#This Row],[sector_id]] = co_impactTypes[sector_id] ), --IF( co_impactTypes[physicalmeasure] = "N/A", 0, 1) ) &gt;= 1</f>
        <v>1</v>
      </c>
      <c r="L46" s="90" t="b" cm="1">
        <f t="array" ref="L46" xml:space="preserve"> OR( SUMPRODUCT( --( co_sectors[[#This Row],[sector_id]] = co_impactTypes[sector_id] ), --IF( co_impactTypes[c0] &lt;&gt; 0, 1, 0) ) &gt;= 1,
      SUMPRODUCT( --( co_sectors[[#This Row],[sector_id]] = co_impactTypes[sector_id] ), --IF( co_impactTypes[c1] &lt;&gt; 0, 1, 0) ) &gt;= 1 )</f>
        <v>1</v>
      </c>
      <c r="M46" s="90" cm="1">
        <f t="array" ref="M46" xml:space="preserve"> SUMPRODUCT( --( co_sectors[[#This Row],[sector_id]] = co_variants[sector_id] ) )</f>
        <v>1</v>
      </c>
      <c r="N46" s="90" cm="1">
        <f t="array" ref="N46" xml:space="preserve"> SUMPRODUCT( --( co_sectors[[#This Row],[sector_id]] = co_impactTypes[sector_id] ) )</f>
        <v>3</v>
      </c>
      <c r="O46" s="90" cm="1">
        <f t="array" ref="O46" xml:space="preserve"> IF( INDEX( co_impactYears[NA], MATCH( 1, --( co_sectors[[#This Row],[sector_id]] = co_impactYears[sector_id] ), 0 ) ) = "NA", 1, 2 )</f>
        <v>1</v>
      </c>
    </row>
    <row r="47" spans="2:15" ht="22.5" x14ac:dyDescent="0.2">
      <c r="B47" s="73">
        <f xml:space="preserve"> ROW( co_sectors[[#This Row],[row_id]] ) - ROW( co_sectors[[#Headers],[row_id]] )</f>
        <v>27</v>
      </c>
      <c r="C47" s="75" t="s">
        <v>430</v>
      </c>
      <c r="D47" s="23" t="s">
        <v>560</v>
      </c>
      <c r="E47" s="12">
        <v>1</v>
      </c>
      <c r="F47" s="15" t="s">
        <v>161</v>
      </c>
      <c r="G47" s="88"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8" t="str">
        <f ca="1" xml:space="preserve"> _xlfn.TEXTJOIN( ", ", 1,
  OFFSET( INDIRECT( ADDRESS( ROW( INDEX( co_impactYears[sector_id], MATCH( co_sectors[[#This Row],[sector_id]], co_impactYears[sector_id], 0 ) ) ),  COLUMN( co_impactYears[[#Headers],[sector_id]] ), , , "controlTables" ) ), 0, 1, 1, 4 )
)</f>
        <v>NA</v>
      </c>
      <c r="I47" s="88"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7" s="21">
        <f ca="1" xml:space="preserve"> IF( co_sectors[[#This Row],[impactYears]] = "NA", 0, 1)</f>
        <v>0</v>
      </c>
      <c r="K47" s="90" t="b" cm="1">
        <f t="array" ref="K47" xml:space="preserve"> SUMPRODUCT( --( co_sectors[[#This Row],[sector_id]] = co_impactTypes[sector_id] ), --IF( co_impactTypes[physicalmeasure] = "N/A", 0, 1) ) &gt;= 1</f>
        <v>1</v>
      </c>
      <c r="L47" s="90" t="b" cm="1">
        <f t="array" ref="L47" xml:space="preserve"> OR( SUMPRODUCT( --( co_sectors[[#This Row],[sector_id]] = co_impactTypes[sector_id] ), --IF( co_impactTypes[c0] &lt;&gt; 0, 1, 0) ) &gt;= 1,
      SUMPRODUCT( --( co_sectors[[#This Row],[sector_id]] = co_impactTypes[sector_id] ), --IF( co_impactTypes[c1] &lt;&gt; 0, 1, 0) ) &gt;= 1 )</f>
        <v>1</v>
      </c>
      <c r="M47" s="90" cm="1">
        <f t="array" ref="M47" xml:space="preserve"> SUMPRODUCT( --( co_sectors[[#This Row],[sector_id]] = co_variants[sector_id] ) )</f>
        <v>1</v>
      </c>
      <c r="N47" s="90" cm="1">
        <f t="array" ref="N47" xml:space="preserve"> SUMPRODUCT( --( co_sectors[[#This Row],[sector_id]] = co_impactTypes[sector_id] ) )</f>
        <v>3</v>
      </c>
      <c r="O47" s="90" cm="1">
        <f t="array" ref="O47" xml:space="preserve"> IF( INDEX( co_impactYears[NA], MATCH( 1, --( co_sectors[[#This Row],[sector_id]] = co_impactYears[sector_id] ), 0 ) ) = "NA", 1, 2 )</f>
        <v>1</v>
      </c>
    </row>
    <row r="48" spans="2:15" x14ac:dyDescent="0.2">
      <c r="B48" s="71">
        <f xml:space="preserve"> ROW( co_sectors[[#This Row],[row_id]] ) - ROW( co_sectors[[#Headers],[row_id]] )</f>
        <v>28</v>
      </c>
      <c r="C48" s="72" t="s">
        <v>63</v>
      </c>
      <c r="D48" s="24" t="s">
        <v>64</v>
      </c>
      <c r="E48" s="12">
        <v>1</v>
      </c>
      <c r="F48" s="14" t="s">
        <v>161</v>
      </c>
      <c r="G48" s="88"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8" t="str">
        <f ca="1" xml:space="preserve"> _xlfn.TEXTJOIN( ", ", 1,
  OFFSET( INDIRECT( ADDRESS( ROW( INDEX( co_impactYears[sector_id], MATCH( co_sectors[[#This Row],[sector_id]], co_impactYears[sector_id], 0 ) ) ),  COLUMN( co_impactYears[[#Headers],[sector_id]] ), , , "controlTables" ) ), 0, 1, 1, 4 )
)</f>
        <v>NA</v>
      </c>
      <c r="I48" s="88"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N/A</v>
      </c>
      <c r="J48" s="21">
        <f ca="1" xml:space="preserve"> IF( co_sectors[[#This Row],[impactYears]] = "NA", 0, 1)</f>
        <v>0</v>
      </c>
      <c r="K48" s="90" t="b" cm="1">
        <f t="array" ref="K48" xml:space="preserve"> SUMPRODUCT( --( co_sectors[[#This Row],[sector_id]] = co_impactTypes[sector_id] ), --IF( co_impactTypes[physicalmeasure] = "N/A", 0, 1) ) &gt;= 1</f>
        <v>0</v>
      </c>
      <c r="L48" s="90" t="b" cm="1">
        <f t="array" ref="L48" xml:space="preserve"> OR( SUMPRODUCT( --( co_sectors[[#This Row],[sector_id]] = co_impactTypes[sector_id] ), --IF( co_impactTypes[c0] &lt;&gt; 0, 1, 0) ) &gt;= 1,
      SUMPRODUCT( --( co_sectors[[#This Row],[sector_id]] = co_impactTypes[sector_id] ), --IF( co_impactTypes[c1] &lt;&gt; 0, 1, 0) ) &gt;= 1 )</f>
        <v>1</v>
      </c>
      <c r="M48" s="90" cm="1">
        <f t="array" ref="M48" xml:space="preserve"> SUMPRODUCT( --( co_sectors[[#This Row],[sector_id]] = co_variants[sector_id] ) )</f>
        <v>1</v>
      </c>
      <c r="N48" s="90" cm="1">
        <f t="array" ref="N48" xml:space="preserve"> SUMPRODUCT( --( co_sectors[[#This Row],[sector_id]] = co_impactTypes[sector_id] ) )</f>
        <v>1</v>
      </c>
      <c r="O48" s="90" cm="1">
        <f t="array" ref="O48" xml:space="preserve"> IF( INDEX( co_impactYears[NA], MATCH( 1, --( co_sectors[[#This Row],[sector_id]] = co_impactYears[sector_id] ), 0 ) ) = "NA", 1, 2 )</f>
        <v>1</v>
      </c>
    </row>
    <row r="49" spans="1:21" ht="22.5" x14ac:dyDescent="0.2">
      <c r="B49" s="71">
        <f xml:space="preserve"> ROW( co_sectors[[#This Row],[row_id]] ) - ROW( co_sectors[[#Headers],[row_id]] )</f>
        <v>29</v>
      </c>
      <c r="C49" s="72" t="s">
        <v>105</v>
      </c>
      <c r="D49" s="24" t="s">
        <v>105</v>
      </c>
      <c r="E49" s="12">
        <v>1</v>
      </c>
      <c r="F49" s="14" t="s">
        <v>161</v>
      </c>
      <c r="G49" s="88"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8" t="str">
        <f ca="1" xml:space="preserve"> _xlfn.TEXTJOIN( ", ", 1,
  OFFSET( INDIRECT( ADDRESS( ROW( INDEX( co_impactYears[sector_id], MATCH( co_sectors[[#This Row],[sector_id]], co_impactYears[sector_id], 0 ) ) ),  COLUMN( co_impactYears[[#Headers],[sector_id]] ), , , "controlTables" ) ), 0, 1, 1, 4 )
)</f>
        <v>NA</v>
      </c>
      <c r="I49" s="88"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9" s="21">
        <f ca="1" xml:space="preserve"> IF( co_sectors[[#This Row],[impactYears]] = "NA", 0, 1)</f>
        <v>0</v>
      </c>
      <c r="K49" s="90" t="b" cm="1">
        <f t="array" ref="K49" xml:space="preserve"> SUMPRODUCT( --( co_sectors[[#This Row],[sector_id]] = co_impactTypes[sector_id] ), --IF( co_impactTypes[physicalmeasure] = "N/A", 0, 1) ) &gt;= 1</f>
        <v>1</v>
      </c>
      <c r="L49" s="90" t="b" cm="1">
        <f t="array" ref="L49" xml:space="preserve"> OR( SUMPRODUCT( --( co_sectors[[#This Row],[sector_id]] = co_impactTypes[sector_id] ), --IF( co_impactTypes[c0] &lt;&gt; 0, 1, 0) ) &gt;= 1,
      SUMPRODUCT( --( co_sectors[[#This Row],[sector_id]] = co_impactTypes[sector_id] ), --IF( co_impactTypes[c1] &lt;&gt; 0, 1, 0) ) &gt;= 1 )</f>
        <v>1</v>
      </c>
      <c r="M49" s="90" cm="1">
        <f t="array" ref="M49" xml:space="preserve"> SUMPRODUCT( --( co_sectors[[#This Row],[sector_id]] = co_variants[sector_id] ) )</f>
        <v>1</v>
      </c>
      <c r="N49" s="90" cm="1">
        <f t="array" ref="N49" xml:space="preserve"> SUMPRODUCT( --( co_sectors[[#This Row],[sector_id]] = co_impactTypes[sector_id] ) )</f>
        <v>3</v>
      </c>
      <c r="O49" s="90" cm="1">
        <f t="array" ref="O49" xml:space="preserve"> IF( INDEX( co_impactYears[NA], MATCH( 1, --( co_sectors[[#This Row],[sector_id]] = co_impactYears[sector_id] ), 0 ) ) = "NA", 1, 2 )</f>
        <v>1</v>
      </c>
    </row>
    <row r="50" spans="1:21" x14ac:dyDescent="0.2">
      <c r="B50" s="71">
        <f xml:space="preserve"> ROW( co_sectors[[#This Row],[row_id]] ) - ROW( co_sectors[[#Headers],[row_id]] )</f>
        <v>30</v>
      </c>
      <c r="C50" s="75" t="s">
        <v>340</v>
      </c>
      <c r="D50" s="23" t="s">
        <v>342</v>
      </c>
      <c r="E50" s="12">
        <v>1</v>
      </c>
      <c r="F50" s="15" t="s">
        <v>161</v>
      </c>
      <c r="G50" s="88"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8" t="str">
        <f ca="1" xml:space="preserve"> _xlfn.TEXTJOIN( ", ", 1,
  OFFSET( INDIRECT( ADDRESS( ROW( INDEX( co_impactYears[sector_id], MATCH( co_sectors[[#This Row],[sector_id]], co_impactYears[sector_id], 0 ) ) ),  COLUMN( co_impactYears[[#Headers],[sector_id]] ), , , "controlTables" ) ), 0, 1, 1, 4 )
)</f>
        <v>NA</v>
      </c>
      <c r="I50" s="88"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N/A</v>
      </c>
      <c r="J50" s="21">
        <f ca="1" xml:space="preserve"> IF( co_sectors[[#This Row],[impactYears]] = "NA", 0, 1)</f>
        <v>0</v>
      </c>
      <c r="K50" s="90" t="b" cm="1">
        <f t="array" ref="K50" xml:space="preserve"> SUMPRODUCT( --( co_sectors[[#This Row],[sector_id]] = co_impactTypes[sector_id] ), --IF( co_impactTypes[physicalmeasure] = "N/A", 0, 1) ) &gt;= 1</f>
        <v>0</v>
      </c>
      <c r="L50" s="90" t="b" cm="1">
        <f t="array" ref="L50" xml:space="preserve"> OR( SUMPRODUCT( --( co_sectors[[#This Row],[sector_id]] = co_impactTypes[sector_id] ), --IF( co_impactTypes[c0] &lt;&gt; 0, 1, 0) ) &gt;= 1,
      SUMPRODUCT( --( co_sectors[[#This Row],[sector_id]] = co_impactTypes[sector_id] ), --IF( co_impactTypes[c1] &lt;&gt; 0, 1, 0) ) &gt;= 1 )</f>
        <v>1</v>
      </c>
      <c r="M50" s="90" cm="1">
        <f t="array" ref="M50" xml:space="preserve"> SUMPRODUCT( --( co_sectors[[#This Row],[sector_id]] = co_variants[sector_id] ) )</f>
        <v>1</v>
      </c>
      <c r="N50" s="90" cm="1">
        <f t="array" ref="N50" xml:space="preserve"> SUMPRODUCT( --( co_sectors[[#This Row],[sector_id]] = co_impactTypes[sector_id] ) )</f>
        <v>1</v>
      </c>
      <c r="O50" s="90" cm="1">
        <f t="array" ref="O50" xml:space="preserve"> IF( INDEX( co_impactYears[NA], MATCH( 1, --( co_sectors[[#This Row],[sector_id]] = co_impactYears[sector_id] ), 0 ) ) = "NA", 1, 2 )</f>
        <v>1</v>
      </c>
    </row>
    <row r="51" spans="1:21" ht="33.75" x14ac:dyDescent="0.2">
      <c r="B51" s="71">
        <f xml:space="preserve"> ROW( co_sectors[[#This Row],[row_id]] ) - ROW( co_sectors[[#Headers],[row_id]] )</f>
        <v>31</v>
      </c>
      <c r="C51" s="75" t="s">
        <v>24</v>
      </c>
      <c r="D51" s="23" t="s">
        <v>33</v>
      </c>
      <c r="E51" s="12">
        <v>1</v>
      </c>
      <c r="F51" s="14" t="s">
        <v>161</v>
      </c>
      <c r="G51" s="88" t="str" cm="1">
        <f t="array" aca="1" ref="G51" ca="1" xml:space="preserve"> _xlfn.TEXTJOIN( ", ", 1,
  IF( OFFSET( INDIRECT( ADDRESS( ROW( co_variants[[#Headers],[row_id]] ),  COLUMN( co_variants[[#Headers],[sector_id]] ), , , "controlTables" ) ), 1, 0, MAX( co_variants[row_id] ), 1 ) = co_sectors[[#This Row],[sector_id]], co_variants[variant_label], "" )
)</f>
        <v>N/A</v>
      </c>
      <c r="H51" s="88" t="str">
        <f ca="1" xml:space="preserve"> _xlfn.TEXTJOIN( ", ", 1,
  OFFSET( INDIRECT( ADDRESS( ROW( INDEX( co_impactYears[sector_id], MATCH( co_sectors[[#This Row],[sector_id]], co_impactYears[sector_id], 0 ) ) ),  COLUMN( co_impactYears[[#Headers],[sector_id]] ), , , "controlTables" ) ), 0, 1, 1, 4 )
)</f>
        <v>2010, 2090</v>
      </c>
      <c r="I51" s="88" t="str" cm="1">
        <f t="array" aca="1" ref="I5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1" s="21">
        <f ca="1" xml:space="preserve"> IF( co_sectors[[#This Row],[impactYears]] = "NA", 0, 1)</f>
        <v>1</v>
      </c>
      <c r="K51" s="90" t="b" cm="1">
        <f t="array" ref="K51" xml:space="preserve"> SUMPRODUCT( --( co_sectors[[#This Row],[sector_id]] = co_impactTypes[sector_id] ), --IF( co_impactTypes[physicalmeasure] = "N/A", 0, 1) ) &gt;= 1</f>
        <v>0</v>
      </c>
      <c r="L51" s="90" t="b" cm="1">
        <f t="array" ref="L51" xml:space="preserve"> OR( SUMPRODUCT( --( co_sectors[[#This Row],[sector_id]] = co_impactTypes[sector_id] ), --IF( co_impactTypes[c0] &lt;&gt; 0, 1, 0) ) &gt;= 1,
      SUMPRODUCT( --( co_sectors[[#This Row],[sector_id]] = co_impactTypes[sector_id] ), --IF( co_impactTypes[c1] &lt;&gt; 0, 1, 0) ) &gt;= 1 )</f>
        <v>1</v>
      </c>
      <c r="M51" s="90" cm="1">
        <f t="array" ref="M51" xml:space="preserve"> SUMPRODUCT( --( co_sectors[[#This Row],[sector_id]] = co_variants[sector_id] ) )</f>
        <v>1</v>
      </c>
      <c r="N51" s="90" cm="1">
        <f t="array" ref="N51" xml:space="preserve"> SUMPRODUCT( --( co_sectors[[#This Row],[sector_id]] = co_impactTypes[sector_id] ) )</f>
        <v>3</v>
      </c>
      <c r="O51" s="90" cm="1">
        <f t="array" ref="O51" xml:space="preserve"> IF( INDEX( co_impactYears[NA], MATCH( 1, --( co_sectors[[#This Row],[sector_id]] = co_impactYears[sector_id] ), 0 ) ) = "NA", 1, 2 )</f>
        <v>2</v>
      </c>
    </row>
    <row r="53" spans="1:21" ht="15" x14ac:dyDescent="0.25">
      <c r="A53" s="16"/>
      <c r="B53" s="17" t="s">
        <v>291</v>
      </c>
      <c r="C53" s="17"/>
      <c r="D53" s="17"/>
      <c r="E53" s="17"/>
      <c r="F53" s="17"/>
      <c r="G53" s="17"/>
      <c r="H53" s="17"/>
      <c r="I53" s="17"/>
      <c r="J53" s="17"/>
      <c r="K53" s="17"/>
      <c r="L53" s="17"/>
      <c r="M53" s="17"/>
      <c r="N53" s="17"/>
      <c r="O53" s="17"/>
      <c r="P53" s="17"/>
      <c r="Q53" s="17"/>
      <c r="R53" s="17"/>
      <c r="S53" s="17"/>
      <c r="T53" s="17"/>
      <c r="U53" s="17"/>
    </row>
    <row r="55" spans="1:21" x14ac:dyDescent="0.2">
      <c r="B55" s="29" t="s">
        <v>123</v>
      </c>
      <c r="C55" s="29" t="s">
        <v>56</v>
      </c>
      <c r="D55" s="31" t="s">
        <v>207</v>
      </c>
      <c r="E55" s="15" t="s">
        <v>185</v>
      </c>
      <c r="F55" s="31" t="s">
        <v>186</v>
      </c>
    </row>
    <row r="56" spans="1:21" x14ac:dyDescent="0.2">
      <c r="B56" s="4">
        <f xml:space="preserve"> ROW( co_impactYears[[#This Row],[row_id]] ) - ROW(co_impactYears[[#Headers],[row_id]] )</f>
        <v>1</v>
      </c>
      <c r="C56" s="7" t="s">
        <v>99</v>
      </c>
      <c r="D56" s="27" t="s">
        <v>207</v>
      </c>
      <c r="E56" s="80" t="s">
        <v>17</v>
      </c>
      <c r="F56" s="27" t="s">
        <v>17</v>
      </c>
    </row>
    <row r="57" spans="1:21" x14ac:dyDescent="0.2">
      <c r="B57" s="4">
        <f xml:space="preserve"> ROW( co_impactYears[[#This Row],[row_id]] ) - ROW(co_impactYears[[#Headers],[row_id]] )</f>
        <v>2</v>
      </c>
      <c r="C57" s="7" t="s">
        <v>274</v>
      </c>
      <c r="D57" s="27" t="s">
        <v>207</v>
      </c>
      <c r="E57" s="80" t="s">
        <v>17</v>
      </c>
      <c r="F57" s="27" t="s">
        <v>17</v>
      </c>
    </row>
    <row r="58" spans="1:21" x14ac:dyDescent="0.2">
      <c r="B58" s="4">
        <f xml:space="preserve"> ROW( co_impactYears[[#This Row],[row_id]] ) - ROW(co_impactYears[[#Headers],[row_id]] )</f>
        <v>3</v>
      </c>
      <c r="C58" s="7" t="s">
        <v>553</v>
      </c>
      <c r="D58" s="27" t="s">
        <v>207</v>
      </c>
      <c r="E58" s="80" t="s">
        <v>17</v>
      </c>
      <c r="F58" s="27" t="s">
        <v>17</v>
      </c>
    </row>
    <row r="59" spans="1:21" x14ac:dyDescent="0.2">
      <c r="B59" s="4">
        <f xml:space="preserve"> ROW( co_impactYears[[#This Row],[row_id]] ) - ROW(co_impactYears[[#Headers],[row_id]] )</f>
        <v>4</v>
      </c>
      <c r="C59" s="7" t="s">
        <v>371</v>
      </c>
      <c r="D59" s="27" t="s">
        <v>207</v>
      </c>
      <c r="E59" s="80" t="s">
        <v>17</v>
      </c>
      <c r="F59" s="27" t="s">
        <v>17</v>
      </c>
    </row>
    <row r="60" spans="1:21" x14ac:dyDescent="0.2">
      <c r="B60" s="4">
        <f xml:space="preserve"> ROW( co_impactYears[[#This Row],[row_id]] ) - ROW(co_impactYears[[#Headers],[row_id]] )</f>
        <v>5</v>
      </c>
      <c r="C60" s="7" t="s">
        <v>372</v>
      </c>
      <c r="D60" s="27" t="s">
        <v>207</v>
      </c>
      <c r="E60" s="80" t="s">
        <v>17</v>
      </c>
      <c r="F60" s="27" t="s">
        <v>17</v>
      </c>
    </row>
    <row r="61" spans="1:21" x14ac:dyDescent="0.2">
      <c r="B61" s="4">
        <f xml:space="preserve"> ROW( co_impactYears[[#This Row],[row_id]] ) - ROW(co_impactYears[[#Headers],[row_id]] )</f>
        <v>6</v>
      </c>
      <c r="C61" s="7" t="s">
        <v>554</v>
      </c>
      <c r="D61" s="27" t="s">
        <v>207</v>
      </c>
      <c r="E61" s="80" t="s">
        <v>17</v>
      </c>
      <c r="F61" s="27" t="s">
        <v>17</v>
      </c>
    </row>
    <row r="62" spans="1:21" x14ac:dyDescent="0.2">
      <c r="B62" s="4">
        <f xml:space="preserve"> ROW( co_impactYears[[#This Row],[row_id]] ) - ROW(co_impactYears[[#Headers],[row_id]] )</f>
        <v>7</v>
      </c>
      <c r="C62" s="7" t="s">
        <v>21</v>
      </c>
      <c r="D62" s="27" t="s">
        <v>207</v>
      </c>
      <c r="E62" s="80" t="s">
        <v>17</v>
      </c>
      <c r="F62" s="27" t="s">
        <v>17</v>
      </c>
    </row>
    <row r="63" spans="1:21" x14ac:dyDescent="0.2">
      <c r="B63" s="4">
        <f xml:space="preserve"> ROW( co_impactYears[[#This Row],[row_id]] ) - ROW(co_impactYears[[#Headers],[row_id]] )</f>
        <v>8</v>
      </c>
      <c r="C63" s="7" t="s">
        <v>57</v>
      </c>
      <c r="D63" s="27" t="s">
        <v>207</v>
      </c>
      <c r="E63" s="80" t="s">
        <v>17</v>
      </c>
      <c r="F63" s="27" t="s">
        <v>17</v>
      </c>
    </row>
    <row r="64" spans="1:21" x14ac:dyDescent="0.2">
      <c r="B64" s="4">
        <f xml:space="preserve"> ROW( co_impactYears[[#This Row],[row_id]] ) - ROW(co_impactYears[[#Headers],[row_id]] )</f>
        <v>9</v>
      </c>
      <c r="C64" s="7" t="s">
        <v>271</v>
      </c>
      <c r="D64" s="27" t="s">
        <v>207</v>
      </c>
      <c r="E64" s="80" t="s">
        <v>17</v>
      </c>
      <c r="F64" s="27" t="s">
        <v>17</v>
      </c>
    </row>
    <row r="65" spans="2:6" x14ac:dyDescent="0.2">
      <c r="B65" s="4">
        <f xml:space="preserve"> ROW( co_impactYears[[#This Row],[row_id]] ) - ROW(co_impactYears[[#Headers],[row_id]] )</f>
        <v>10</v>
      </c>
      <c r="C65" s="7" t="s">
        <v>15</v>
      </c>
      <c r="D65" s="27" t="s">
        <v>17</v>
      </c>
      <c r="E65" s="80">
        <v>2010</v>
      </c>
      <c r="F65" s="27">
        <v>2090</v>
      </c>
    </row>
    <row r="66" spans="2:6" x14ac:dyDescent="0.2">
      <c r="B66" s="4">
        <f xml:space="preserve"> ROW( co_impactYears[[#This Row],[row_id]] ) - ROW(co_impactYears[[#Headers],[row_id]] )</f>
        <v>11</v>
      </c>
      <c r="C66" s="7" t="s">
        <v>661</v>
      </c>
      <c r="D66" s="27" t="s">
        <v>207</v>
      </c>
      <c r="E66" s="80"/>
      <c r="F66" s="27"/>
    </row>
    <row r="67" spans="2:6" x14ac:dyDescent="0.2">
      <c r="B67" s="4">
        <f xml:space="preserve"> ROW( co_impactYears[[#This Row],[row_id]] ) - ROW(co_impactYears[[#Headers],[row_id]] )</f>
        <v>12</v>
      </c>
      <c r="C67" s="7" t="s">
        <v>58</v>
      </c>
      <c r="D67" s="27" t="s">
        <v>207</v>
      </c>
      <c r="E67" s="80" t="s">
        <v>17</v>
      </c>
      <c r="F67" s="27" t="s">
        <v>17</v>
      </c>
    </row>
    <row r="68" spans="2:6" x14ac:dyDescent="0.2">
      <c r="B68" s="4">
        <f xml:space="preserve"> ROW( co_impactYears[[#This Row],[row_id]] ) - ROW(co_impactYears[[#Headers],[row_id]] )</f>
        <v>13</v>
      </c>
      <c r="C68" s="7" t="s">
        <v>19</v>
      </c>
      <c r="D68" s="27" t="s">
        <v>207</v>
      </c>
      <c r="E68" s="80" t="s">
        <v>17</v>
      </c>
      <c r="F68" s="27" t="s">
        <v>17</v>
      </c>
    </row>
    <row r="69" spans="2:6" x14ac:dyDescent="0.2">
      <c r="B69" s="4">
        <f xml:space="preserve"> ROW( co_impactYears[[#This Row],[row_id]] ) - ROW(co_impactYears[[#Headers],[row_id]] )</f>
        <v>14</v>
      </c>
      <c r="C69" s="7" t="s">
        <v>18</v>
      </c>
      <c r="D69" s="27" t="s">
        <v>207</v>
      </c>
      <c r="E69" s="80" t="s">
        <v>17</v>
      </c>
      <c r="F69" s="27" t="s">
        <v>17</v>
      </c>
    </row>
    <row r="70" spans="2:6" x14ac:dyDescent="0.2">
      <c r="B70" s="4">
        <f xml:space="preserve"> ROW( co_impactYears[[#This Row],[row_id]] ) - ROW(co_impactYears[[#Headers],[row_id]] )</f>
        <v>15</v>
      </c>
      <c r="C70" s="7" t="s">
        <v>677</v>
      </c>
      <c r="D70" s="27" t="s">
        <v>207</v>
      </c>
      <c r="E70" s="80"/>
      <c r="F70" s="27"/>
    </row>
    <row r="71" spans="2:6" x14ac:dyDescent="0.2">
      <c r="B71" s="4">
        <f xml:space="preserve"> ROW( co_impactYears[[#This Row],[row_id]] ) - ROW(co_impactYears[[#Headers],[row_id]] )</f>
        <v>16</v>
      </c>
      <c r="C71" s="7" t="s">
        <v>628</v>
      </c>
      <c r="D71" s="27" t="s">
        <v>207</v>
      </c>
      <c r="E71" s="80"/>
      <c r="F71" s="27"/>
    </row>
    <row r="72" spans="2:6" x14ac:dyDescent="0.2">
      <c r="B72" s="4">
        <f xml:space="preserve"> ROW( co_impactYears[[#This Row],[row_id]] ) - ROW(co_impactYears[[#Headers],[row_id]] )</f>
        <v>17</v>
      </c>
      <c r="C72" s="7" t="s">
        <v>59</v>
      </c>
      <c r="D72" s="27" t="s">
        <v>207</v>
      </c>
      <c r="E72" s="80" t="s">
        <v>17</v>
      </c>
      <c r="F72" s="27" t="s">
        <v>17</v>
      </c>
    </row>
    <row r="73" spans="2:6" x14ac:dyDescent="0.2">
      <c r="B73" s="4">
        <f xml:space="preserve"> ROW( co_impactYears[[#This Row],[row_id]] ) - ROW(co_impactYears[[#Headers],[row_id]] )</f>
        <v>18</v>
      </c>
      <c r="C73" s="7" t="s">
        <v>622</v>
      </c>
      <c r="D73" s="27" t="s">
        <v>207</v>
      </c>
      <c r="E73" s="80"/>
      <c r="F73" s="27"/>
    </row>
    <row r="74" spans="2:6" x14ac:dyDescent="0.2">
      <c r="B74" s="4">
        <f xml:space="preserve"> ROW( co_impactYears[[#This Row],[row_id]] ) - ROW(co_impactYears[[#Headers],[row_id]] )</f>
        <v>19</v>
      </c>
      <c r="C74" s="7" t="s">
        <v>621</v>
      </c>
      <c r="D74" s="27" t="s">
        <v>207</v>
      </c>
      <c r="E74" s="80"/>
      <c r="F74" s="27"/>
    </row>
    <row r="75" spans="2:6" x14ac:dyDescent="0.2">
      <c r="B75" s="4">
        <f xml:space="preserve"> ROW( co_impactYears[[#This Row],[row_id]] ) - ROW(co_impactYears[[#Headers],[row_id]] )</f>
        <v>20</v>
      </c>
      <c r="C75" s="7" t="s">
        <v>634</v>
      </c>
      <c r="D75" s="27" t="s">
        <v>207</v>
      </c>
      <c r="E75" s="80"/>
      <c r="F75" s="27"/>
    </row>
    <row r="76" spans="2:6" x14ac:dyDescent="0.2">
      <c r="B76" s="4">
        <f xml:space="preserve"> ROW( co_impactYears[[#This Row],[row_id]] ) - ROW(co_impactYears[[#Headers],[row_id]] )</f>
        <v>21</v>
      </c>
      <c r="C76" s="7" t="s">
        <v>555</v>
      </c>
      <c r="D76" s="27" t="s">
        <v>207</v>
      </c>
      <c r="E76" s="80" t="s">
        <v>17</v>
      </c>
      <c r="F76" s="27" t="s">
        <v>17</v>
      </c>
    </row>
    <row r="77" spans="2:6" x14ac:dyDescent="0.2">
      <c r="B77" s="4">
        <f xml:space="preserve"> ROW( co_impactYears[[#This Row],[row_id]] ) - ROW(co_impactYears[[#Headers],[row_id]] )</f>
        <v>22</v>
      </c>
      <c r="C77" s="7" t="s">
        <v>46</v>
      </c>
      <c r="D77" s="27" t="s">
        <v>207</v>
      </c>
      <c r="E77" s="80" t="s">
        <v>17</v>
      </c>
      <c r="F77" s="27" t="s">
        <v>17</v>
      </c>
    </row>
    <row r="78" spans="2:6" x14ac:dyDescent="0.2">
      <c r="B78" s="4">
        <f xml:space="preserve"> ROW( co_impactYears[[#This Row],[row_id]] ) - ROW(co_impactYears[[#Headers],[row_id]] )</f>
        <v>23</v>
      </c>
      <c r="C78" s="7" t="s">
        <v>53</v>
      </c>
      <c r="D78" s="27" t="s">
        <v>207</v>
      </c>
      <c r="E78" s="80" t="s">
        <v>17</v>
      </c>
      <c r="F78" s="27" t="s">
        <v>17</v>
      </c>
    </row>
    <row r="79" spans="2:6" x14ac:dyDescent="0.2">
      <c r="B79" s="4">
        <f xml:space="preserve"> ROW( co_impactYears[[#This Row],[row_id]] ) - ROW(co_impactYears[[#Headers],[row_id]] )</f>
        <v>24</v>
      </c>
      <c r="C79" s="7" t="s">
        <v>20</v>
      </c>
      <c r="D79" s="27" t="s">
        <v>17</v>
      </c>
      <c r="E79" s="80">
        <v>2010</v>
      </c>
      <c r="F79" s="27">
        <v>2090</v>
      </c>
    </row>
    <row r="80" spans="2:6" x14ac:dyDescent="0.2">
      <c r="B80" s="4">
        <f xml:space="preserve"> ROW( co_impactYears[[#This Row],[row_id]] ) - ROW(co_impactYears[[#Headers],[row_id]] )</f>
        <v>25</v>
      </c>
      <c r="C80" s="7" t="s">
        <v>61</v>
      </c>
      <c r="D80" s="27" t="s">
        <v>207</v>
      </c>
      <c r="E80" s="80" t="s">
        <v>17</v>
      </c>
      <c r="F80" s="27" t="s">
        <v>17</v>
      </c>
    </row>
    <row r="81" spans="1:21" x14ac:dyDescent="0.2">
      <c r="B81" s="4">
        <f xml:space="preserve"> ROW( co_impactYears[[#This Row],[row_id]] ) - ROW(co_impactYears[[#Headers],[row_id]] )</f>
        <v>26</v>
      </c>
      <c r="C81" s="7" t="s">
        <v>252</v>
      </c>
      <c r="D81" s="27" t="s">
        <v>207</v>
      </c>
      <c r="E81" s="80" t="s">
        <v>17</v>
      </c>
      <c r="F81" s="27" t="s">
        <v>17</v>
      </c>
    </row>
    <row r="82" spans="1:21" x14ac:dyDescent="0.2">
      <c r="B82" s="4">
        <f xml:space="preserve"> ROW( co_impactYears[[#This Row],[row_id]] ) - ROW(co_impactYears[[#Headers],[row_id]] )</f>
        <v>27</v>
      </c>
      <c r="C82" s="7" t="s">
        <v>430</v>
      </c>
      <c r="D82" s="27" t="s">
        <v>207</v>
      </c>
      <c r="E82" s="80" t="s">
        <v>17</v>
      </c>
      <c r="F82" s="27" t="s">
        <v>17</v>
      </c>
    </row>
    <row r="83" spans="1:21" x14ac:dyDescent="0.2">
      <c r="B83" s="4">
        <f xml:space="preserve"> ROW( co_impactYears[[#This Row],[row_id]] ) - ROW(co_impactYears[[#Headers],[row_id]] )</f>
        <v>28</v>
      </c>
      <c r="C83" s="7" t="s">
        <v>63</v>
      </c>
      <c r="D83" s="27" t="s">
        <v>207</v>
      </c>
      <c r="E83" s="80" t="s">
        <v>17</v>
      </c>
      <c r="F83" s="27" t="s">
        <v>17</v>
      </c>
    </row>
    <row r="84" spans="1:21" x14ac:dyDescent="0.2">
      <c r="B84" s="4">
        <f xml:space="preserve"> ROW( co_impactYears[[#This Row],[row_id]] ) - ROW(co_impactYears[[#Headers],[row_id]] )</f>
        <v>29</v>
      </c>
      <c r="C84" s="7" t="s">
        <v>105</v>
      </c>
      <c r="D84" s="27" t="s">
        <v>207</v>
      </c>
      <c r="E84" s="80" t="s">
        <v>17</v>
      </c>
      <c r="F84" s="27" t="s">
        <v>17</v>
      </c>
    </row>
    <row r="85" spans="1:21" x14ac:dyDescent="0.2">
      <c r="B85" s="4">
        <f xml:space="preserve"> ROW( co_impactYears[[#This Row],[row_id]] ) - ROW(co_impactYears[[#Headers],[row_id]] )</f>
        <v>30</v>
      </c>
      <c r="C85" s="7" t="s">
        <v>340</v>
      </c>
      <c r="D85" s="27" t="s">
        <v>207</v>
      </c>
      <c r="E85" s="80" t="s">
        <v>17</v>
      </c>
      <c r="F85" s="27" t="s">
        <v>17</v>
      </c>
    </row>
    <row r="86" spans="1:21" x14ac:dyDescent="0.2">
      <c r="B86" s="4">
        <f xml:space="preserve"> ROW( co_impactYears[[#This Row],[row_id]] ) - ROW(co_impactYears[[#Headers],[row_id]] )</f>
        <v>31</v>
      </c>
      <c r="C86" s="7" t="s">
        <v>24</v>
      </c>
      <c r="D86" s="27" t="s">
        <v>17</v>
      </c>
      <c r="E86" s="80">
        <v>2010</v>
      </c>
      <c r="F86" s="27">
        <v>2090</v>
      </c>
    </row>
    <row r="88" spans="1:21" ht="15" x14ac:dyDescent="0.25">
      <c r="A88" s="16"/>
      <c r="B88" s="17" t="s">
        <v>380</v>
      </c>
      <c r="C88" s="17"/>
      <c r="D88" s="17"/>
      <c r="E88" s="17"/>
      <c r="F88" s="17"/>
      <c r="G88" s="17"/>
      <c r="H88" s="17"/>
      <c r="I88" s="17"/>
      <c r="J88" s="17"/>
      <c r="K88" s="17"/>
      <c r="L88" s="17"/>
      <c r="M88" s="17"/>
      <c r="N88" s="17"/>
      <c r="O88" s="17"/>
      <c r="P88" s="17"/>
      <c r="Q88" s="17"/>
      <c r="R88" s="17"/>
      <c r="S88" s="17"/>
      <c r="T88" s="17"/>
      <c r="U88" s="17"/>
    </row>
    <row r="89" spans="1:21" x14ac:dyDescent="0.2">
      <c r="B89" s="3" t="s">
        <v>381</v>
      </c>
      <c r="C89" s="3"/>
      <c r="D89" s="3"/>
      <c r="E89" s="10"/>
      <c r="F89" s="3"/>
      <c r="G89" s="3"/>
      <c r="H89" s="3"/>
      <c r="I89" s="3"/>
      <c r="J89" s="3"/>
      <c r="K89" s="3"/>
    </row>
    <row r="90" spans="1:21" x14ac:dyDescent="0.2">
      <c r="B90" s="3" t="s">
        <v>382</v>
      </c>
      <c r="C90" s="3"/>
      <c r="D90" s="3"/>
      <c r="E90" s="10"/>
      <c r="F90" s="3"/>
      <c r="G90" s="3"/>
      <c r="H90" s="3"/>
      <c r="I90" s="3"/>
      <c r="J90" s="3"/>
      <c r="K90" s="3"/>
    </row>
    <row r="91" spans="1:21" x14ac:dyDescent="0.2">
      <c r="B91" s="3" t="s">
        <v>383</v>
      </c>
      <c r="C91" s="3"/>
      <c r="D91" s="3"/>
      <c r="E91" s="10"/>
      <c r="F91" s="3"/>
      <c r="G91" s="3"/>
      <c r="H91" s="3"/>
      <c r="I91" s="3"/>
      <c r="J91" s="3"/>
      <c r="K91" s="3"/>
    </row>
    <row r="92" spans="1:21" ht="15" x14ac:dyDescent="0.25">
      <c r="B92" s="43" t="s">
        <v>123</v>
      </c>
      <c r="C92" s="43" t="s">
        <v>56</v>
      </c>
      <c r="D92" s="43" t="s">
        <v>384</v>
      </c>
      <c r="E92" s="43" t="s">
        <v>385</v>
      </c>
      <c r="F92" s="31" t="s">
        <v>282</v>
      </c>
      <c r="G92" s="31" t="s">
        <v>283</v>
      </c>
      <c r="H92" s="29" t="s">
        <v>138</v>
      </c>
      <c r="I92" s="29" t="s">
        <v>592</v>
      </c>
      <c r="J92" s="5"/>
      <c r="K92" s="5"/>
      <c r="L92" s="5"/>
      <c r="M92" s="5"/>
      <c r="N92" s="5"/>
      <c r="O92" s="5"/>
    </row>
    <row r="93" spans="1:21" ht="15" x14ac:dyDescent="0.25">
      <c r="B93" s="4">
        <f xml:space="preserve"> ROW( co_variants[[#This Row],[row_id]] ) - ROW( co_variants[[#Headers],[row_id]] )</f>
        <v>1</v>
      </c>
      <c r="C93" s="7" t="s">
        <v>99</v>
      </c>
      <c r="D93" s="26" t="s">
        <v>116</v>
      </c>
      <c r="E93" s="47">
        <v>2011</v>
      </c>
      <c r="F93" s="27">
        <v>1</v>
      </c>
      <c r="G93" s="27">
        <v>1</v>
      </c>
      <c r="H93" s="46"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2</v>
      </c>
      <c r="C94" s="7" t="s">
        <v>99</v>
      </c>
      <c r="D94" s="26" t="s">
        <v>224</v>
      </c>
      <c r="E94" s="47">
        <v>2040</v>
      </c>
      <c r="F94" s="27">
        <v>0</v>
      </c>
      <c r="G94" s="27">
        <v>0</v>
      </c>
      <c r="H94" s="46"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3</v>
      </c>
      <c r="C95" s="7" t="s">
        <v>274</v>
      </c>
      <c r="D95" s="26" t="s">
        <v>38</v>
      </c>
      <c r="E95" s="47" t="s">
        <v>207</v>
      </c>
      <c r="F95" s="27">
        <v>1</v>
      </c>
      <c r="G95" s="27">
        <v>0</v>
      </c>
      <c r="H95" s="46"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4</v>
      </c>
      <c r="C96" s="7" t="s">
        <v>553</v>
      </c>
      <c r="D96" s="26" t="s">
        <v>389</v>
      </c>
      <c r="E96" s="47" t="s">
        <v>388</v>
      </c>
      <c r="F96" s="60">
        <v>1</v>
      </c>
      <c r="G96" s="60">
        <v>1</v>
      </c>
      <c r="H96" s="46"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5</v>
      </c>
      <c r="C97" s="7" t="s">
        <v>553</v>
      </c>
      <c r="D97" s="26" t="s">
        <v>390</v>
      </c>
      <c r="E97" s="47" t="s">
        <v>596</v>
      </c>
      <c r="F97" s="60">
        <v>0</v>
      </c>
      <c r="G97" s="60">
        <v>0</v>
      </c>
      <c r="H97" s="46"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6</v>
      </c>
      <c r="C98" s="7" t="s">
        <v>553</v>
      </c>
      <c r="D98" s="26" t="s">
        <v>391</v>
      </c>
      <c r="E98" s="47" t="s">
        <v>597</v>
      </c>
      <c r="F98" s="60">
        <v>0</v>
      </c>
      <c r="G98" s="60">
        <v>0</v>
      </c>
      <c r="H98" s="46"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7</v>
      </c>
      <c r="C99" s="7" t="s">
        <v>371</v>
      </c>
      <c r="D99" s="47" t="s">
        <v>356</v>
      </c>
      <c r="E99" s="47" t="s">
        <v>362</v>
      </c>
      <c r="F99" s="60">
        <v>1</v>
      </c>
      <c r="G99" s="60">
        <v>1</v>
      </c>
      <c r="H99" s="46"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8</v>
      </c>
      <c r="C100" s="7" t="s">
        <v>371</v>
      </c>
      <c r="D100" s="47" t="s">
        <v>355</v>
      </c>
      <c r="E100" s="47" t="s">
        <v>363</v>
      </c>
      <c r="F100" s="60">
        <v>0</v>
      </c>
      <c r="G100" s="60">
        <v>0</v>
      </c>
      <c r="H100" s="46"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9</v>
      </c>
      <c r="C101" s="7" t="s">
        <v>372</v>
      </c>
      <c r="D101" s="26" t="s">
        <v>38</v>
      </c>
      <c r="E101" s="47" t="s">
        <v>207</v>
      </c>
      <c r="F101" s="60">
        <v>1</v>
      </c>
      <c r="G101" s="60">
        <v>1</v>
      </c>
      <c r="H101" s="46"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10</v>
      </c>
      <c r="C102" s="7" t="s">
        <v>554</v>
      </c>
      <c r="D102" s="26" t="s">
        <v>393</v>
      </c>
      <c r="E102" s="47" t="s">
        <v>392</v>
      </c>
      <c r="F102" s="60">
        <v>1</v>
      </c>
      <c r="G102" s="60">
        <v>0</v>
      </c>
      <c r="H102" s="46"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11</v>
      </c>
      <c r="C103" s="7" t="s">
        <v>554</v>
      </c>
      <c r="D103" s="26" t="s">
        <v>390</v>
      </c>
      <c r="E103" s="47" t="s">
        <v>596</v>
      </c>
      <c r="F103" s="60">
        <v>0</v>
      </c>
      <c r="G103" s="60">
        <v>0</v>
      </c>
      <c r="H103" s="46"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12</v>
      </c>
      <c r="C104" s="7" t="s">
        <v>554</v>
      </c>
      <c r="D104" s="26" t="s">
        <v>391</v>
      </c>
      <c r="E104" s="47" t="s">
        <v>597</v>
      </c>
      <c r="F104" s="60">
        <v>0</v>
      </c>
      <c r="G104" s="60">
        <v>0</v>
      </c>
      <c r="H104" s="46"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13</v>
      </c>
      <c r="C105" s="7" t="s">
        <v>21</v>
      </c>
      <c r="D105" s="26" t="s">
        <v>440</v>
      </c>
      <c r="E105" s="47" t="s">
        <v>22</v>
      </c>
      <c r="F105" s="27">
        <v>0</v>
      </c>
      <c r="G105" s="27">
        <v>0</v>
      </c>
      <c r="H105" s="46"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14</v>
      </c>
      <c r="C106" s="7" t="s">
        <v>21</v>
      </c>
      <c r="D106" s="26" t="s">
        <v>120</v>
      </c>
      <c r="E106" s="65" t="s">
        <v>45</v>
      </c>
      <c r="F106" s="27">
        <v>0</v>
      </c>
      <c r="G106" s="27">
        <v>0</v>
      </c>
      <c r="H106" s="46" t="str">
        <f xml:space="preserve"> INDEX( co_impactTypes[damageAdjName], MATCH( co_variants[[#This Row],[sector_id]], co_impactTypes[sector_id], 0 ) ) &amp;
   IF( OR(co_variants[[#This Row],[sector_id]] = "Roads", co_variants[[#This Row],[sector_id]] = "ForestryLoss"),"_" &amp; co_variants[[#This Row],[variant_id]], "" )</f>
        <v>none</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15</v>
      </c>
      <c r="C107" s="7" t="s">
        <v>21</v>
      </c>
      <c r="D107" s="26" t="s">
        <v>121</v>
      </c>
      <c r="E107" s="65" t="s">
        <v>23</v>
      </c>
      <c r="F107" s="27">
        <v>1</v>
      </c>
      <c r="G107" s="27">
        <v>1</v>
      </c>
      <c r="H107" s="46" t="str">
        <f xml:space="preserve"> INDEX( co_impactTypes[damageAdjName], MATCH( co_variants[[#This Row],[sector_id]], co_impactTypes[sector_id], 0 ) ) &amp;
   IF( OR(co_variants[[#This Row],[sector_id]] = "Roads", co_variants[[#This Row],[sector_id]] = "ForestryLoss"),"_" &amp; co_variants[[#This Row],[variant_id]], "" )</f>
        <v>none</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16</v>
      </c>
      <c r="C108" s="7" t="s">
        <v>57</v>
      </c>
      <c r="D108" s="26" t="s">
        <v>38</v>
      </c>
      <c r="E108" s="47" t="s">
        <v>207</v>
      </c>
      <c r="F108" s="27">
        <v>1</v>
      </c>
      <c r="G108" s="27">
        <v>1</v>
      </c>
      <c r="H108" s="46" t="str">
        <f xml:space="preserve"> INDEX( co_impactTypes[damageAdjName], MATCH( co_variants[[#This Row],[sector_id]], co_impactTypes[sector_id], 0 ) ) &amp;
   IF( OR(co_variants[[#This Row],[sector_id]] = "Roads", co_variants[[#This Row],[sector_id]] = "ForestryLoss"),"_" &amp; co_variants[[#This Row],[variant_id]], "" )</f>
        <v>elecSD_refCosts</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17</v>
      </c>
      <c r="C109" s="7" t="s">
        <v>271</v>
      </c>
      <c r="D109" s="26" t="s">
        <v>440</v>
      </c>
      <c r="E109" s="47" t="s">
        <v>22</v>
      </c>
      <c r="F109" s="27">
        <v>0</v>
      </c>
      <c r="G109" s="27">
        <v>0</v>
      </c>
      <c r="H109"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18</v>
      </c>
      <c r="C110" s="7" t="s">
        <v>271</v>
      </c>
      <c r="D110" s="26" t="s">
        <v>120</v>
      </c>
      <c r="E110" s="65" t="s">
        <v>45</v>
      </c>
      <c r="F110" s="27">
        <v>0</v>
      </c>
      <c r="G110" s="27">
        <v>0</v>
      </c>
      <c r="H110"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19</v>
      </c>
      <c r="C111" s="7" t="s">
        <v>271</v>
      </c>
      <c r="D111" s="26" t="s">
        <v>121</v>
      </c>
      <c r="E111" s="65" t="s">
        <v>23</v>
      </c>
      <c r="F111" s="27">
        <v>1</v>
      </c>
      <c r="G111" s="27">
        <v>1</v>
      </c>
      <c r="H111"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20</v>
      </c>
      <c r="C112" s="7" t="s">
        <v>15</v>
      </c>
      <c r="D112" s="26" t="s">
        <v>117</v>
      </c>
      <c r="E112" s="47" t="s">
        <v>208</v>
      </c>
      <c r="F112" s="27">
        <v>0</v>
      </c>
      <c r="G112" s="27">
        <v>0</v>
      </c>
      <c r="H112" s="46" t="str">
        <f xml:space="preserve"> INDEX( co_impactTypes[damageAdjName], MATCH( co_variants[[#This Row],[sector_id]], co_impactTypes[sector_id], 0 ) ) &amp;
   IF( OR(co_variants[[#This Row],[sector_id]] = "Roads", co_variants[[#This Row],[sector_id]] = "ForestryLoss"),"_" &amp; co_variants[[#This Row],[variant_id]], "" )</f>
        <v>none</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21</v>
      </c>
      <c r="C113" s="7" t="s">
        <v>15</v>
      </c>
      <c r="D113" s="26" t="s">
        <v>440</v>
      </c>
      <c r="E113" s="47" t="s">
        <v>22</v>
      </c>
      <c r="F113" s="27">
        <v>1</v>
      </c>
      <c r="G113" s="27">
        <v>0</v>
      </c>
      <c r="H113" s="46" t="str">
        <f xml:space="preserve"> INDEX( co_impactTypes[damageAdjName], MATCH( co_variants[[#This Row],[sector_id]], co_impactTypes[sector_id], 0 ) ) &amp;
   IF( OR(co_variants[[#This Row],[sector_id]] = "Roads", co_variants[[#This Row],[sector_id]] = "ForestryLoss"),"_" &amp; co_variants[[#This Row],[variant_id]], "" )</f>
        <v>none</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22</v>
      </c>
      <c r="C114" s="7" t="s">
        <v>661</v>
      </c>
      <c r="D114" s="26" t="s">
        <v>665</v>
      </c>
      <c r="E114" s="47" t="s">
        <v>663</v>
      </c>
      <c r="F114" s="60">
        <v>1</v>
      </c>
      <c r="G114" s="60">
        <v>1</v>
      </c>
      <c r="H114"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23</v>
      </c>
      <c r="C115" s="7" t="s">
        <v>661</v>
      </c>
      <c r="D115" s="26" t="s">
        <v>666</v>
      </c>
      <c r="E115" s="47" t="s">
        <v>664</v>
      </c>
      <c r="F115" s="60">
        <v>0</v>
      </c>
      <c r="G115" s="60">
        <v>0</v>
      </c>
      <c r="H115"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5" s="34" cm="1">
        <f t="array" ref="I115" xml:space="preserve"> --( SUMPRODUCT( --( co_impactTypes[sector_id] = co_variants[[#This Row],[sector_id]] ) ) &gt;= 1 )</f>
        <v>1</v>
      </c>
      <c r="J115"/>
      <c r="K115"/>
      <c r="L115"/>
      <c r="M115"/>
    </row>
    <row r="116" spans="2:13" ht="15" x14ac:dyDescent="0.25">
      <c r="B116" s="4">
        <f xml:space="preserve"> ROW( co_variants[[#This Row],[row_id]] ) - ROW( co_variants[[#Headers],[row_id]] )</f>
        <v>24</v>
      </c>
      <c r="C116" s="7" t="s">
        <v>58</v>
      </c>
      <c r="D116" s="26" t="s">
        <v>118</v>
      </c>
      <c r="E116" s="47" t="s">
        <v>67</v>
      </c>
      <c r="F116" s="27">
        <v>0</v>
      </c>
      <c r="G116" s="27">
        <v>0</v>
      </c>
      <c r="H116" s="46"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25</v>
      </c>
      <c r="C117" s="7" t="s">
        <v>58</v>
      </c>
      <c r="D117" s="26" t="s">
        <v>440</v>
      </c>
      <c r="E117" s="47" t="s">
        <v>22</v>
      </c>
      <c r="F117" s="27">
        <v>0</v>
      </c>
      <c r="G117" s="27">
        <v>0</v>
      </c>
      <c r="H117" s="46"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22.5" x14ac:dyDescent="0.25">
      <c r="B118" s="4">
        <f xml:space="preserve"> ROW( co_variants[[#This Row],[row_id]] ) - ROW( co_variants[[#Headers],[row_id]] )</f>
        <v>26</v>
      </c>
      <c r="C118" s="7" t="s">
        <v>58</v>
      </c>
      <c r="D118" s="26" t="s">
        <v>122</v>
      </c>
      <c r="E118" s="65" t="s">
        <v>66</v>
      </c>
      <c r="F118" s="27">
        <v>1</v>
      </c>
      <c r="G118" s="27">
        <v>1</v>
      </c>
      <c r="H118" s="46"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27</v>
      </c>
      <c r="C119" s="7" t="s">
        <v>19</v>
      </c>
      <c r="D119" s="26" t="s">
        <v>38</v>
      </c>
      <c r="E119" s="47" t="s">
        <v>207</v>
      </c>
      <c r="F119" s="27">
        <v>1</v>
      </c>
      <c r="G119" s="27">
        <v>1</v>
      </c>
      <c r="H119" s="46"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28</v>
      </c>
      <c r="C120" s="7" t="s">
        <v>18</v>
      </c>
      <c r="D120" s="26" t="s">
        <v>38</v>
      </c>
      <c r="E120" s="47" t="s">
        <v>207</v>
      </c>
      <c r="F120" s="27">
        <v>1</v>
      </c>
      <c r="G120" s="27">
        <v>1</v>
      </c>
      <c r="H120" s="46"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29</v>
      </c>
      <c r="C121" s="7" t="s">
        <v>677</v>
      </c>
      <c r="D121" s="26" t="s">
        <v>119</v>
      </c>
      <c r="E121" s="26" t="s">
        <v>635</v>
      </c>
      <c r="F121" s="60">
        <v>1</v>
      </c>
      <c r="G121" s="60">
        <v>1</v>
      </c>
      <c r="H121" s="46"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30</v>
      </c>
      <c r="C122" s="7" t="s">
        <v>677</v>
      </c>
      <c r="D122" s="26" t="s">
        <v>120</v>
      </c>
      <c r="E122" s="26" t="s">
        <v>679</v>
      </c>
      <c r="F122" s="60">
        <v>0</v>
      </c>
      <c r="G122" s="60">
        <v>0</v>
      </c>
      <c r="H122" s="46"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31</v>
      </c>
      <c r="C123" s="7" t="s">
        <v>628</v>
      </c>
      <c r="D123" s="26" t="s">
        <v>38</v>
      </c>
      <c r="E123" s="47" t="s">
        <v>207</v>
      </c>
      <c r="F123" s="60">
        <v>1</v>
      </c>
      <c r="G123" s="60">
        <v>1</v>
      </c>
      <c r="H123" s="46"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32</v>
      </c>
      <c r="C124" s="7" t="s">
        <v>59</v>
      </c>
      <c r="D124" s="26" t="s">
        <v>38</v>
      </c>
      <c r="E124" s="47" t="s">
        <v>207</v>
      </c>
      <c r="F124" s="60">
        <v>1</v>
      </c>
      <c r="G124" s="60">
        <v>1</v>
      </c>
      <c r="H124" s="46"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33</v>
      </c>
      <c r="C125" s="7" t="s">
        <v>622</v>
      </c>
      <c r="D125" s="26" t="s">
        <v>623</v>
      </c>
      <c r="E125" s="47" t="s">
        <v>602</v>
      </c>
      <c r="F125" s="60">
        <v>0</v>
      </c>
      <c r="G125" s="60">
        <v>0</v>
      </c>
      <c r="H125" s="46"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34</v>
      </c>
      <c r="C126" s="7" t="s">
        <v>622</v>
      </c>
      <c r="D126" s="26" t="s">
        <v>624</v>
      </c>
      <c r="E126" s="47" t="s">
        <v>601</v>
      </c>
      <c r="F126" s="60">
        <v>1</v>
      </c>
      <c r="G126" s="60">
        <v>1</v>
      </c>
      <c r="H126" s="46"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35</v>
      </c>
      <c r="C127" s="7" t="s">
        <v>622</v>
      </c>
      <c r="D127" s="26" t="s">
        <v>625</v>
      </c>
      <c r="E127" s="47" t="s">
        <v>600</v>
      </c>
      <c r="F127" s="60">
        <v>0</v>
      </c>
      <c r="G127" s="60">
        <v>0</v>
      </c>
      <c r="H127" s="46"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36</v>
      </c>
      <c r="C128" s="7" t="s">
        <v>621</v>
      </c>
      <c r="D128" s="26" t="s">
        <v>623</v>
      </c>
      <c r="E128" s="47" t="s">
        <v>602</v>
      </c>
      <c r="F128" s="60">
        <v>0</v>
      </c>
      <c r="G128" s="60">
        <v>0</v>
      </c>
      <c r="H128" s="46"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5" x14ac:dyDescent="0.25">
      <c r="B129" s="4">
        <f xml:space="preserve"> ROW( co_variants[[#This Row],[row_id]] ) - ROW( co_variants[[#Headers],[row_id]] )</f>
        <v>37</v>
      </c>
      <c r="C129" s="7" t="s">
        <v>621</v>
      </c>
      <c r="D129" s="26" t="s">
        <v>624</v>
      </c>
      <c r="E129" s="47" t="s">
        <v>601</v>
      </c>
      <c r="F129" s="60">
        <v>1</v>
      </c>
      <c r="G129" s="60">
        <v>0</v>
      </c>
      <c r="H129" s="46" t="str">
        <f xml:space="preserve"> INDEX( co_impactTypes[damageAdjName], MATCH( co_variants[[#This Row],[sector_id]], co_impactTypes[sector_id], 0 ) ) &amp;
   IF( OR(co_variants[[#This Row],[sector_id]] = "Roads", co_variants[[#This Row],[sector_id]] = "ForestryLoss"),"_" &amp; co_variants[[#This Row],[variant_id]], "" )</f>
        <v>none</v>
      </c>
      <c r="I129" s="34" cm="1">
        <f t="array" ref="I129" xml:space="preserve"> --( SUMPRODUCT( --( co_impactTypes[sector_id] = co_variants[[#This Row],[sector_id]] ) ) &gt;= 1 )</f>
        <v>1</v>
      </c>
      <c r="J129"/>
      <c r="K129"/>
      <c r="L129"/>
      <c r="M129"/>
    </row>
    <row r="130" spans="2:13" ht="15" x14ac:dyDescent="0.25">
      <c r="B130" s="4">
        <f xml:space="preserve"> ROW( co_variants[[#This Row],[row_id]] ) - ROW( co_variants[[#Headers],[row_id]] )</f>
        <v>38</v>
      </c>
      <c r="C130" s="7" t="s">
        <v>621</v>
      </c>
      <c r="D130" s="26" t="s">
        <v>625</v>
      </c>
      <c r="E130" s="47" t="s">
        <v>600</v>
      </c>
      <c r="F130" s="60">
        <v>0</v>
      </c>
      <c r="G130" s="60">
        <v>0</v>
      </c>
      <c r="H130" s="46" t="str">
        <f xml:space="preserve"> INDEX( co_impactTypes[damageAdjName], MATCH( co_variants[[#This Row],[sector_id]], co_impactTypes[sector_id], 0 ) ) &amp;
   IF( OR(co_variants[[#This Row],[sector_id]] = "Roads", co_variants[[#This Row],[sector_id]] = "ForestryLoss"),"_" &amp; co_variants[[#This Row],[variant_id]], "" )</f>
        <v>none</v>
      </c>
      <c r="I130" s="34" cm="1">
        <f t="array" ref="I130" xml:space="preserve"> --( SUMPRODUCT( --( co_impactTypes[sector_id] = co_variants[[#This Row],[sector_id]] ) ) &gt;= 1 )</f>
        <v>1</v>
      </c>
      <c r="J130"/>
      <c r="K130"/>
      <c r="L130"/>
      <c r="M130"/>
    </row>
    <row r="131" spans="2:13" ht="15" x14ac:dyDescent="0.25">
      <c r="B131" s="4">
        <f xml:space="preserve"> ROW( co_variants[[#This Row],[row_id]] ) - ROW( co_variants[[#Headers],[row_id]] )</f>
        <v>39</v>
      </c>
      <c r="C131" s="7" t="s">
        <v>634</v>
      </c>
      <c r="D131" s="26" t="s">
        <v>120</v>
      </c>
      <c r="E131" s="47" t="s">
        <v>117</v>
      </c>
      <c r="F131" s="60">
        <v>0</v>
      </c>
      <c r="G131" s="60">
        <v>0</v>
      </c>
      <c r="H131" s="46" t="str">
        <f xml:space="preserve"> INDEX( co_impactTypes[damageAdjName], MATCH( co_variants[[#This Row],[sector_id]], co_impactTypes[sector_id], 0 ) ) &amp;
   IF( OR(co_variants[[#This Row],[sector_id]] = "Roads", co_variants[[#This Row],[sector_id]] = "ForestryLoss"),"_" &amp; co_variants[[#This Row],[variant_id]], "" )</f>
        <v>none</v>
      </c>
      <c r="I131" s="34" cm="1">
        <f t="array" ref="I131" xml:space="preserve"> --( SUMPRODUCT( --( co_impactTypes[sector_id] = co_variants[[#This Row],[sector_id]] ) ) &gt;= 1 )</f>
        <v>1</v>
      </c>
      <c r="J131"/>
      <c r="K131"/>
      <c r="L131"/>
      <c r="M131"/>
    </row>
    <row r="132" spans="2:13" ht="15" x14ac:dyDescent="0.25">
      <c r="B132" s="4">
        <f xml:space="preserve"> ROW( co_variants[[#This Row],[row_id]] ) - ROW( co_variants[[#Headers],[row_id]] )</f>
        <v>40</v>
      </c>
      <c r="C132" s="7" t="s">
        <v>634</v>
      </c>
      <c r="D132" s="26" t="s">
        <v>119</v>
      </c>
      <c r="E132" s="47" t="s">
        <v>635</v>
      </c>
      <c r="F132" s="60">
        <v>1</v>
      </c>
      <c r="G132" s="60">
        <v>1</v>
      </c>
      <c r="H132" s="46" t="str">
        <f xml:space="preserve"> INDEX( co_impactTypes[damageAdjName], MATCH( co_variants[[#This Row],[sector_id]], co_impactTypes[sector_id], 0 ) ) &amp;
   IF( OR(co_variants[[#This Row],[sector_id]] = "Roads", co_variants[[#This Row],[sector_id]] = "ForestryLoss"),"_" &amp; co_variants[[#This Row],[variant_id]], "" )</f>
        <v>none</v>
      </c>
      <c r="I132" s="34" cm="1">
        <f t="array" ref="I132" xml:space="preserve"> --( SUMPRODUCT( --( co_impactTypes[sector_id] = co_variants[[#This Row],[sector_id]] ) ) &gt;= 1 )</f>
        <v>1</v>
      </c>
      <c r="J132"/>
      <c r="K132"/>
      <c r="L132"/>
      <c r="M132"/>
    </row>
    <row r="133" spans="2:13" ht="15" x14ac:dyDescent="0.25">
      <c r="B133" s="4">
        <f xml:space="preserve"> ROW( co_variants[[#This Row],[row_id]] ) - ROW( co_variants[[#Headers],[row_id]] )</f>
        <v>41</v>
      </c>
      <c r="C133" s="7" t="s">
        <v>555</v>
      </c>
      <c r="D133" s="26" t="s">
        <v>38</v>
      </c>
      <c r="E133" s="47" t="s">
        <v>207</v>
      </c>
      <c r="F133" s="60">
        <v>1</v>
      </c>
      <c r="G133" s="60">
        <v>2</v>
      </c>
      <c r="H133" s="46" t="str">
        <f xml:space="preserve"> INDEX( co_impactTypes[damageAdjName], MATCH( co_variants[[#This Row],[sector_id]], co_impactTypes[sector_id], 0 ) ) &amp;
   IF( OR(co_variants[[#This Row],[sector_id]] = "Roads", co_variants[[#This Row],[sector_id]] = "ForestryLoss"),"_" &amp; co_variants[[#This Row],[variant_id]], "" )</f>
        <v>MH_popDemoAdj</v>
      </c>
      <c r="I133" s="34" cm="1">
        <f t="array" ref="I133" xml:space="preserve"> --( SUMPRODUCT( --( co_impactTypes[sector_id] = co_variants[[#This Row],[sector_id]] ) ) &gt;= 1 )</f>
        <v>1</v>
      </c>
      <c r="J133"/>
      <c r="K133"/>
      <c r="L133"/>
      <c r="M133"/>
    </row>
    <row r="134" spans="2:13" ht="15" x14ac:dyDescent="0.25">
      <c r="B134" s="4">
        <f xml:space="preserve"> ROW( co_variants[[#This Row],[row_id]] ) - ROW( co_variants[[#Headers],[row_id]] )</f>
        <v>42</v>
      </c>
      <c r="C134" s="7" t="s">
        <v>46</v>
      </c>
      <c r="D134" s="26" t="s">
        <v>440</v>
      </c>
      <c r="E134" s="47" t="s">
        <v>22</v>
      </c>
      <c r="F134" s="27">
        <v>0</v>
      </c>
      <c r="G134" s="27">
        <v>0</v>
      </c>
      <c r="H134"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4" s="34" cm="1">
        <f t="array" ref="I134" xml:space="preserve"> --( SUMPRODUCT( --( co_impactTypes[sector_id] = co_variants[[#This Row],[sector_id]] ) ) &gt;= 1 )</f>
        <v>1</v>
      </c>
      <c r="J134"/>
      <c r="K134"/>
      <c r="L134"/>
      <c r="M134"/>
    </row>
    <row r="135" spans="2:13" ht="15" x14ac:dyDescent="0.25">
      <c r="B135" s="4">
        <f xml:space="preserve"> ROW( co_variants[[#This Row],[row_id]] ) - ROW( co_variants[[#Headers],[row_id]] )</f>
        <v>43</v>
      </c>
      <c r="C135" s="7" t="s">
        <v>46</v>
      </c>
      <c r="D135" s="26" t="s">
        <v>120</v>
      </c>
      <c r="E135" s="65" t="s">
        <v>45</v>
      </c>
      <c r="F135" s="27">
        <v>0</v>
      </c>
      <c r="G135" s="27">
        <v>0</v>
      </c>
      <c r="H135"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5" s="34" cm="1">
        <f t="array" ref="I135" xml:space="preserve"> --( SUMPRODUCT( --( co_impactTypes[sector_id] = co_variants[[#This Row],[sector_id]] ) ) &gt;= 1 )</f>
        <v>1</v>
      </c>
      <c r="J135"/>
      <c r="K135"/>
      <c r="L135"/>
      <c r="M135"/>
    </row>
    <row r="136" spans="2:13" ht="15" x14ac:dyDescent="0.25">
      <c r="B136" s="4">
        <f xml:space="preserve"> ROW( co_variants[[#This Row],[row_id]] ) - ROW( co_variants[[#Headers],[row_id]] )</f>
        <v>44</v>
      </c>
      <c r="C136" s="7" t="s">
        <v>46</v>
      </c>
      <c r="D136" s="26" t="s">
        <v>121</v>
      </c>
      <c r="E136" s="65" t="s">
        <v>23</v>
      </c>
      <c r="F136" s="27">
        <v>1</v>
      </c>
      <c r="G136" s="27">
        <v>1</v>
      </c>
      <c r="H136"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6" s="34" cm="1">
        <f t="array" ref="I136" xml:space="preserve"> --( SUMPRODUCT( --( co_impactTypes[sector_id] = co_variants[[#This Row],[sector_id]] ) ) &gt;= 1 )</f>
        <v>1</v>
      </c>
      <c r="J136"/>
      <c r="K136"/>
      <c r="L136"/>
      <c r="M136"/>
    </row>
    <row r="137" spans="2:13" ht="15" x14ac:dyDescent="0.25">
      <c r="B137" s="4">
        <f xml:space="preserve"> ROW( co_variants[[#This Row],[row_id]] ) - ROW( co_variants[[#Headers],[row_id]] )</f>
        <v>45</v>
      </c>
      <c r="C137" s="7" t="s">
        <v>53</v>
      </c>
      <c r="D137" s="26" t="s">
        <v>440</v>
      </c>
      <c r="E137" s="47" t="s">
        <v>22</v>
      </c>
      <c r="F137" s="27">
        <v>0</v>
      </c>
      <c r="G137" s="27">
        <v>0</v>
      </c>
      <c r="H137" s="46"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7" s="34" cm="1">
        <f t="array" ref="I137" xml:space="preserve"> --( SUMPRODUCT( --( co_impactTypes[sector_id] = co_variants[[#This Row],[sector_id]] ) ) &gt;= 1 )</f>
        <v>1</v>
      </c>
      <c r="J137"/>
      <c r="K137"/>
      <c r="L137"/>
      <c r="M137"/>
    </row>
    <row r="138" spans="2:13" ht="15" x14ac:dyDescent="0.25">
      <c r="B138" s="4">
        <f xml:space="preserve"> ROW( co_variants[[#This Row],[row_id]] ) - ROW( co_variants[[#Headers],[row_id]] )</f>
        <v>46</v>
      </c>
      <c r="C138" s="7" t="s">
        <v>53</v>
      </c>
      <c r="D138" s="26" t="s">
        <v>120</v>
      </c>
      <c r="E138" s="65" t="s">
        <v>45</v>
      </c>
      <c r="F138" s="27">
        <v>0</v>
      </c>
      <c r="G138" s="27">
        <v>0</v>
      </c>
      <c r="H138" s="46"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8" s="34" cm="1">
        <f t="array" ref="I138" xml:space="preserve"> --( SUMPRODUCT( --( co_impactTypes[sector_id] = co_variants[[#This Row],[sector_id]] ) ) &gt;= 1 )</f>
        <v>1</v>
      </c>
      <c r="J138"/>
      <c r="K138"/>
      <c r="L138"/>
      <c r="M138"/>
    </row>
    <row r="139" spans="2:13" ht="15" x14ac:dyDescent="0.25">
      <c r="B139" s="4">
        <f xml:space="preserve"> ROW( co_variants[[#This Row],[row_id]] ) - ROW( co_variants[[#Headers],[row_id]] )</f>
        <v>47</v>
      </c>
      <c r="C139" s="7" t="s">
        <v>53</v>
      </c>
      <c r="D139" s="26" t="s">
        <v>121</v>
      </c>
      <c r="E139" s="65" t="s">
        <v>23</v>
      </c>
      <c r="F139" s="27">
        <v>1</v>
      </c>
      <c r="G139" s="27">
        <v>1</v>
      </c>
      <c r="H139" s="46"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9" s="34" cm="1">
        <f t="array" ref="I139" xml:space="preserve"> --( SUMPRODUCT( --( co_impactTypes[sector_id] = co_variants[[#This Row],[sector_id]] ) ) &gt;= 1 )</f>
        <v>1</v>
      </c>
      <c r="J139"/>
      <c r="K139"/>
      <c r="L139"/>
      <c r="M139"/>
    </row>
    <row r="140" spans="2:13" ht="15" x14ac:dyDescent="0.25">
      <c r="B140" s="4">
        <f xml:space="preserve"> ROW( co_variants[[#This Row],[row_id]] ) - ROW( co_variants[[#Headers],[row_id]] )</f>
        <v>48</v>
      </c>
      <c r="C140" s="7" t="s">
        <v>20</v>
      </c>
      <c r="D140" s="26" t="s">
        <v>38</v>
      </c>
      <c r="E140" s="47" t="s">
        <v>207</v>
      </c>
      <c r="F140" s="27">
        <v>1</v>
      </c>
      <c r="G140" s="27">
        <v>1</v>
      </c>
      <c r="H140" s="46"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5" x14ac:dyDescent="0.25">
      <c r="B141" s="4">
        <f xml:space="preserve"> ROW( co_variants[[#This Row],[row_id]] ) - ROW( co_variants[[#Headers],[row_id]] )</f>
        <v>49</v>
      </c>
      <c r="C141" s="7" t="s">
        <v>61</v>
      </c>
      <c r="D141" s="26" t="s">
        <v>38</v>
      </c>
      <c r="E141" s="47" t="s">
        <v>207</v>
      </c>
      <c r="F141" s="27">
        <v>1</v>
      </c>
      <c r="G141" s="27">
        <v>1</v>
      </c>
      <c r="H141" s="46"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5" x14ac:dyDescent="0.25">
      <c r="B142" s="4">
        <f xml:space="preserve"> ROW( co_variants[[#This Row],[row_id]] ) - ROW( co_variants[[#Headers],[row_id]] )</f>
        <v>50</v>
      </c>
      <c r="C142" s="7" t="s">
        <v>252</v>
      </c>
      <c r="D142" s="26" t="s">
        <v>38</v>
      </c>
      <c r="E142" s="47" t="s">
        <v>207</v>
      </c>
      <c r="F142" s="27">
        <v>1</v>
      </c>
      <c r="G142" s="27">
        <v>1</v>
      </c>
      <c r="H142" s="46"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5" x14ac:dyDescent="0.25">
      <c r="B143" s="4">
        <f xml:space="preserve"> ROW( co_variants[[#This Row],[row_id]] ) - ROW( co_variants[[#Headers],[row_id]] )</f>
        <v>51</v>
      </c>
      <c r="C143" s="7" t="s">
        <v>430</v>
      </c>
      <c r="D143" s="26" t="s">
        <v>38</v>
      </c>
      <c r="E143" s="47" t="s">
        <v>207</v>
      </c>
      <c r="F143" s="60">
        <v>1</v>
      </c>
      <c r="G143" s="60">
        <v>1</v>
      </c>
      <c r="H143" s="46"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4" spans="2:13" ht="15" x14ac:dyDescent="0.25">
      <c r="B144" s="4">
        <f xml:space="preserve"> ROW( co_variants[[#This Row],[row_id]] ) - ROW( co_variants[[#Headers],[row_id]] )</f>
        <v>52</v>
      </c>
      <c r="C144" s="7" t="s">
        <v>63</v>
      </c>
      <c r="D144" s="26" t="s">
        <v>38</v>
      </c>
      <c r="E144" s="47" t="s">
        <v>207</v>
      </c>
      <c r="F144" s="27">
        <v>1</v>
      </c>
      <c r="G144" s="27">
        <v>1</v>
      </c>
      <c r="H144" s="46" t="str">
        <f xml:space="preserve"> INDEX( co_impactTypes[damageAdjName], MATCH( co_variants[[#This Row],[sector_id]], co_impactTypes[sector_id], 0 ) ) &amp;
   IF( OR(co_variants[[#This Row],[sector_id]] = "Roads", co_variants[[#This Row],[sector_id]] = "ForestryLoss"),"_" &amp; co_variants[[#This Row],[variant_id]], "" )</f>
        <v>none</v>
      </c>
      <c r="I144" s="34" cm="1">
        <f t="array" ref="I144" xml:space="preserve"> --( SUMPRODUCT( --( co_impactTypes[sector_id] = co_variants[[#This Row],[sector_id]] ) ) &gt;= 1 )</f>
        <v>1</v>
      </c>
      <c r="J144"/>
      <c r="K144"/>
      <c r="L144"/>
      <c r="M144"/>
    </row>
    <row r="145" spans="1:21" ht="15" x14ac:dyDescent="0.25">
      <c r="B145" s="4">
        <f xml:space="preserve"> ROW( co_variants[[#This Row],[row_id]] ) - ROW( co_variants[[#Headers],[row_id]] )</f>
        <v>53</v>
      </c>
      <c r="C145" s="7" t="s">
        <v>105</v>
      </c>
      <c r="D145" s="26" t="s">
        <v>38</v>
      </c>
      <c r="E145" s="47" t="s">
        <v>207</v>
      </c>
      <c r="F145" s="27">
        <v>1</v>
      </c>
      <c r="G145" s="27">
        <v>1</v>
      </c>
      <c r="H145" s="46" t="str">
        <f xml:space="preserve"> INDEX( co_impactTypes[damageAdjName], MATCH( co_variants[[#This Row],[sector_id]], co_impactTypes[sector_id], 0 ) ) &amp;
   IF( OR(co_variants[[#This Row],[sector_id]] = "Roads", co_variants[[#This Row],[sector_id]] = "ForestryLoss"),"_" &amp; co_variants[[#This Row],[variant_id]], "" )</f>
        <v>none</v>
      </c>
      <c r="I145" s="34" cm="1">
        <f t="array" ref="I145" xml:space="preserve"> --( SUMPRODUCT( --( co_impactTypes[sector_id] = co_variants[[#This Row],[sector_id]] ) ) &gt;= 1 )</f>
        <v>1</v>
      </c>
      <c r="J145"/>
      <c r="K145"/>
      <c r="L145"/>
      <c r="M145"/>
    </row>
    <row r="146" spans="1:21" ht="15" x14ac:dyDescent="0.25">
      <c r="B146" s="4">
        <f xml:space="preserve"> ROW( co_variants[[#This Row],[row_id]] ) - ROW( co_variants[[#Headers],[row_id]] )</f>
        <v>54</v>
      </c>
      <c r="C146" s="7" t="s">
        <v>340</v>
      </c>
      <c r="D146" s="26" t="s">
        <v>38</v>
      </c>
      <c r="E146" s="47" t="s">
        <v>207</v>
      </c>
      <c r="F146" s="60">
        <v>1</v>
      </c>
      <c r="G146" s="60">
        <v>1</v>
      </c>
      <c r="H146" s="46" t="str">
        <f xml:space="preserve"> INDEX( co_impactTypes[damageAdjName], MATCH( co_variants[[#This Row],[sector_id]], co_impactTypes[sector_id], 0 ) ) &amp;
   IF( OR(co_variants[[#This Row],[sector_id]] = "Roads", co_variants[[#This Row],[sector_id]] = "ForestryLoss"),"_" &amp; co_variants[[#This Row],[variant_id]], "" )</f>
        <v>none</v>
      </c>
      <c r="I146" s="34" cm="1">
        <f t="array" ref="I146" xml:space="preserve"> --( SUMPRODUCT( --( co_impactTypes[sector_id] = co_variants[[#This Row],[sector_id]] ) ) &gt;= 1 )</f>
        <v>1</v>
      </c>
      <c r="J146"/>
      <c r="K146"/>
      <c r="L146"/>
      <c r="M146"/>
    </row>
    <row r="147" spans="1:21" ht="15" x14ac:dyDescent="0.25">
      <c r="B147" s="4">
        <f xml:space="preserve"> ROW( co_variants[[#This Row],[row_id]] ) - ROW( co_variants[[#Headers],[row_id]] )</f>
        <v>55</v>
      </c>
      <c r="C147" s="7" t="s">
        <v>24</v>
      </c>
      <c r="D147" s="26" t="s">
        <v>38</v>
      </c>
      <c r="E147" s="47" t="s">
        <v>207</v>
      </c>
      <c r="F147" s="27">
        <v>1</v>
      </c>
      <c r="G147" s="27">
        <v>0</v>
      </c>
      <c r="H147" s="46" t="str">
        <f xml:space="preserve"> INDEX( co_impactTypes[damageAdjName], MATCH( co_variants[[#This Row],[sector_id]], co_impactTypes[sector_id], 0 ) ) &amp;
   IF( OR(co_variants[[#This Row],[sector_id]] = "Roads", co_variants[[#This Row],[sector_id]] = "ForestryLoss"),"_" &amp; co_variants[[#This Row],[variant_id]], "" )</f>
        <v>none</v>
      </c>
      <c r="I147" s="34" cm="1">
        <f t="array" ref="I147" xml:space="preserve"> --( SUMPRODUCT( --( co_impactTypes[sector_id] = co_variants[[#This Row],[sector_id]] ) ) &gt;= 1 )</f>
        <v>1</v>
      </c>
      <c r="J147"/>
      <c r="K147"/>
      <c r="L147"/>
      <c r="M147"/>
    </row>
    <row r="149" spans="1:21" ht="15" x14ac:dyDescent="0.25">
      <c r="A149" s="16"/>
      <c r="B149" s="17" t="s">
        <v>37</v>
      </c>
      <c r="C149" s="17"/>
      <c r="D149" s="17"/>
      <c r="E149" s="17"/>
      <c r="F149" s="17"/>
      <c r="G149" s="17"/>
      <c r="H149" s="17"/>
      <c r="I149" s="17"/>
      <c r="J149" s="17"/>
      <c r="K149" s="17"/>
      <c r="L149" s="17"/>
      <c r="M149" s="17"/>
      <c r="N149" s="17"/>
      <c r="O149" s="17"/>
      <c r="P149" s="17"/>
      <c r="Q149" s="17"/>
      <c r="R149" s="17"/>
      <c r="S149" s="17"/>
      <c r="T149" s="17"/>
      <c r="U149" s="17"/>
    </row>
    <row r="150" spans="1:21" x14ac:dyDescent="0.2">
      <c r="B150" s="3" t="s">
        <v>364</v>
      </c>
    </row>
    <row r="151" spans="1:21" x14ac:dyDescent="0.2">
      <c r="B151" s="29" t="s">
        <v>123</v>
      </c>
      <c r="C151" s="29" t="s">
        <v>56</v>
      </c>
      <c r="D151" s="29" t="s">
        <v>211</v>
      </c>
      <c r="E151" s="30" t="s">
        <v>212</v>
      </c>
      <c r="F151" s="29" t="s">
        <v>213</v>
      </c>
      <c r="G151" s="29" t="s">
        <v>284</v>
      </c>
      <c r="H151" s="29" t="s">
        <v>135</v>
      </c>
      <c r="I151" s="29" t="s">
        <v>137</v>
      </c>
      <c r="J151" s="29" t="s">
        <v>138</v>
      </c>
      <c r="K151" s="29" t="s">
        <v>96</v>
      </c>
      <c r="L151" s="29" t="s">
        <v>198</v>
      </c>
      <c r="M151" s="31" t="s">
        <v>106</v>
      </c>
      <c r="N151" s="31" t="s">
        <v>107</v>
      </c>
      <c r="O151" s="31" t="s">
        <v>108</v>
      </c>
      <c r="P151" s="31" t="s">
        <v>109</v>
      </c>
    </row>
    <row r="152" spans="1:21" x14ac:dyDescent="0.2">
      <c r="B152" s="4">
        <f xml:space="preserve"> ROW( co_impactTypes[[#This Row],[row_id]] ) - ROW(co_impactTypes[[#Headers],[row_id]] )</f>
        <v>1</v>
      </c>
      <c r="C152" s="7" t="s">
        <v>99</v>
      </c>
      <c r="D152" s="28" t="s">
        <v>142</v>
      </c>
      <c r="E152" s="47" t="s">
        <v>100</v>
      </c>
      <c r="F152" s="32" t="s">
        <v>142</v>
      </c>
      <c r="G152" s="28" t="s">
        <v>285</v>
      </c>
      <c r="H152" s="28" t="s">
        <v>87</v>
      </c>
      <c r="I152" s="28" t="s">
        <v>91</v>
      </c>
      <c r="J152" s="28" t="s">
        <v>91</v>
      </c>
      <c r="K152" s="28" t="s">
        <v>129</v>
      </c>
      <c r="L152" s="28" t="s">
        <v>92</v>
      </c>
      <c r="M152" s="27">
        <v>0</v>
      </c>
      <c r="N152" s="27">
        <v>1</v>
      </c>
      <c r="O152" s="27">
        <v>0.4</v>
      </c>
      <c r="P152" s="33">
        <f xml:space="preserve"> IF(co_impactTypes[[#This Row],[econMultiplierName]]="None", "N/A", 2010)</f>
        <v>2010</v>
      </c>
    </row>
    <row r="153" spans="1:21" x14ac:dyDescent="0.2">
      <c r="B153" s="4">
        <f xml:space="preserve"> ROW( co_impactTypes[[#This Row],[row_id]] ) - ROW(co_impactTypes[[#Headers],[row_id]] )</f>
        <v>2</v>
      </c>
      <c r="C153" s="7" t="s">
        <v>99</v>
      </c>
      <c r="D153" s="28" t="s">
        <v>143</v>
      </c>
      <c r="E153" s="47" t="s">
        <v>101</v>
      </c>
      <c r="F153" s="32" t="s">
        <v>143</v>
      </c>
      <c r="G153" s="28" t="s">
        <v>285</v>
      </c>
      <c r="H153" s="28" t="s">
        <v>87</v>
      </c>
      <c r="I153" s="28" t="s">
        <v>91</v>
      </c>
      <c r="J153" s="28" t="s">
        <v>91</v>
      </c>
      <c r="K153" s="28" t="s">
        <v>129</v>
      </c>
      <c r="L153" s="28" t="s">
        <v>92</v>
      </c>
      <c r="M153" s="27">
        <v>0</v>
      </c>
      <c r="N153" s="27">
        <v>1</v>
      </c>
      <c r="O153" s="27">
        <v>0.4</v>
      </c>
      <c r="P153" s="33">
        <f xml:space="preserve"> IF(co_impactTypes[[#This Row],[econMultiplierName]]="None", "N/A", 2010)</f>
        <v>2010</v>
      </c>
    </row>
    <row r="154" spans="1:21" x14ac:dyDescent="0.2">
      <c r="B154" s="4">
        <f xml:space="preserve"> ROW( co_impactTypes[[#This Row],[row_id]] ) - ROW(co_impactTypes[[#Headers],[row_id]] )</f>
        <v>3</v>
      </c>
      <c r="C154" s="7" t="s">
        <v>274</v>
      </c>
      <c r="D154" s="28" t="s">
        <v>38</v>
      </c>
      <c r="E154" s="47" t="s">
        <v>207</v>
      </c>
      <c r="F154" s="32" t="s">
        <v>275</v>
      </c>
      <c r="G154" s="28" t="s">
        <v>561</v>
      </c>
      <c r="H154" s="28" t="s">
        <v>278</v>
      </c>
      <c r="I154" s="28" t="s">
        <v>91</v>
      </c>
      <c r="J154" s="28" t="s">
        <v>91</v>
      </c>
      <c r="K154" s="28" t="s">
        <v>91</v>
      </c>
      <c r="L154" s="28" t="s">
        <v>91</v>
      </c>
      <c r="M154" s="27">
        <v>0</v>
      </c>
      <c r="N154" s="27">
        <v>1</v>
      </c>
      <c r="O154" s="27">
        <v>1</v>
      </c>
      <c r="P154" s="33" t="str">
        <f xml:space="preserve"> IF(co_impactTypes[[#This Row],[econMultiplierName]]="None", "N/A", 2010)</f>
        <v>N/A</v>
      </c>
    </row>
    <row r="155" spans="1:21" x14ac:dyDescent="0.2">
      <c r="B155" s="4">
        <f xml:space="preserve"> ROW( co_impactTypes[[#This Row],[row_id]] ) - ROW(co_impactTypes[[#Headers],[row_id]] )</f>
        <v>4</v>
      </c>
      <c r="C155" s="7" t="s">
        <v>553</v>
      </c>
      <c r="D155" s="28" t="s">
        <v>38</v>
      </c>
      <c r="E155" s="47" t="s">
        <v>207</v>
      </c>
      <c r="F155" s="32" t="s">
        <v>394</v>
      </c>
      <c r="G155" s="28" t="s">
        <v>285</v>
      </c>
      <c r="H155" s="28" t="s">
        <v>87</v>
      </c>
      <c r="I155" s="28" t="s">
        <v>91</v>
      </c>
      <c r="J155" s="28" t="s">
        <v>91</v>
      </c>
      <c r="K155" s="28" t="s">
        <v>129</v>
      </c>
      <c r="L155" s="28" t="s">
        <v>92</v>
      </c>
      <c r="M155" s="27">
        <v>0</v>
      </c>
      <c r="N155" s="27">
        <v>1</v>
      </c>
      <c r="O155" s="27">
        <v>0.4</v>
      </c>
      <c r="P155" s="33">
        <f xml:space="preserve"> IF(co_impactTypes[[#This Row],[econMultiplierName]]="None", "N/A", 2010)</f>
        <v>2010</v>
      </c>
    </row>
    <row r="156" spans="1:21" x14ac:dyDescent="0.2">
      <c r="B156" s="4">
        <f xml:space="preserve"> ROW( co_impactTypes[[#This Row],[row_id]] ) - ROW(co_impactTypes[[#Headers],[row_id]] )</f>
        <v>5</v>
      </c>
      <c r="C156" s="7" t="s">
        <v>371</v>
      </c>
      <c r="D156" s="28" t="s">
        <v>357</v>
      </c>
      <c r="E156" s="28" t="s">
        <v>357</v>
      </c>
      <c r="F156" s="32" t="s">
        <v>361</v>
      </c>
      <c r="G156" s="28" t="s">
        <v>38</v>
      </c>
      <c r="H156" s="28" t="s">
        <v>91</v>
      </c>
      <c r="I156" s="28" t="s">
        <v>91</v>
      </c>
      <c r="J156" s="28" t="s">
        <v>91</v>
      </c>
      <c r="K156" s="28" t="s">
        <v>91</v>
      </c>
      <c r="L156" s="28" t="s">
        <v>91</v>
      </c>
      <c r="M156" s="27">
        <v>0</v>
      </c>
      <c r="N156" s="27">
        <v>1</v>
      </c>
      <c r="O156" s="27">
        <v>1</v>
      </c>
      <c r="P156" s="33" t="str">
        <f xml:space="preserve"> IF(co_impactTypes[[#This Row],[econMultiplierName]]="None", "N/A", 2010)</f>
        <v>N/A</v>
      </c>
    </row>
    <row r="157" spans="1:21" x14ac:dyDescent="0.2">
      <c r="B157" s="4">
        <f xml:space="preserve"> ROW( co_impactTypes[[#This Row],[row_id]] ) - ROW(co_impactTypes[[#Headers],[row_id]] )</f>
        <v>6</v>
      </c>
      <c r="C157" s="7" t="s">
        <v>371</v>
      </c>
      <c r="D157" s="28" t="s">
        <v>358</v>
      </c>
      <c r="E157" s="28" t="s">
        <v>358</v>
      </c>
      <c r="F157" s="32" t="s">
        <v>361</v>
      </c>
      <c r="G157" s="28" t="s">
        <v>38</v>
      </c>
      <c r="H157" s="28" t="s">
        <v>91</v>
      </c>
      <c r="I157" s="76" t="s">
        <v>91</v>
      </c>
      <c r="J157" s="76" t="s">
        <v>91</v>
      </c>
      <c r="K157" s="28" t="s">
        <v>91</v>
      </c>
      <c r="L157" s="28" t="s">
        <v>91</v>
      </c>
      <c r="M157" s="27">
        <v>0</v>
      </c>
      <c r="N157" s="27">
        <v>1</v>
      </c>
      <c r="O157" s="27">
        <v>1</v>
      </c>
      <c r="P157" s="33" t="str">
        <f xml:space="preserve"> IF(co_impactTypes[[#This Row],[econMultiplierName]]="None", "N/A", 2010)</f>
        <v>N/A</v>
      </c>
    </row>
    <row r="158" spans="1:21" x14ac:dyDescent="0.2">
      <c r="B158" s="4">
        <f xml:space="preserve"> ROW( co_impactTypes[[#This Row],[row_id]] ) - ROW(co_impactTypes[[#Headers],[row_id]] )</f>
        <v>7</v>
      </c>
      <c r="C158" s="7" t="s">
        <v>371</v>
      </c>
      <c r="D158" s="28" t="s">
        <v>359</v>
      </c>
      <c r="E158" s="28" t="s">
        <v>359</v>
      </c>
      <c r="F158" s="32" t="s">
        <v>361</v>
      </c>
      <c r="G158" s="28" t="s">
        <v>38</v>
      </c>
      <c r="H158" s="28" t="s">
        <v>91</v>
      </c>
      <c r="I158" s="28" t="s">
        <v>91</v>
      </c>
      <c r="J158" s="28" t="s">
        <v>91</v>
      </c>
      <c r="K158" s="28" t="s">
        <v>91</v>
      </c>
      <c r="L158" s="28" t="s">
        <v>91</v>
      </c>
      <c r="M158" s="27">
        <v>0</v>
      </c>
      <c r="N158" s="27">
        <v>1</v>
      </c>
      <c r="O158" s="27">
        <v>1</v>
      </c>
      <c r="P158" s="33" t="str">
        <f xml:space="preserve"> IF(co_impactTypes[[#This Row],[econMultiplierName]]="None", "N/A", 2010)</f>
        <v>N/A</v>
      </c>
    </row>
    <row r="159" spans="1:21" x14ac:dyDescent="0.2">
      <c r="B159" s="4">
        <f xml:space="preserve"> ROW( co_impactTypes[[#This Row],[row_id]] ) - ROW(co_impactTypes[[#Headers],[row_id]] )</f>
        <v>8</v>
      </c>
      <c r="C159" s="7" t="s">
        <v>371</v>
      </c>
      <c r="D159" s="28" t="s">
        <v>360</v>
      </c>
      <c r="E159" s="28" t="s">
        <v>360</v>
      </c>
      <c r="F159" s="32" t="s">
        <v>361</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1:21" x14ac:dyDescent="0.2">
      <c r="B160" s="4">
        <f xml:space="preserve"> ROW( co_impactTypes[[#This Row],[row_id]] ) - ROW(co_impactTypes[[#Headers],[row_id]] )</f>
        <v>9</v>
      </c>
      <c r="C160" s="7" t="s">
        <v>372</v>
      </c>
      <c r="D160" s="28" t="s">
        <v>365</v>
      </c>
      <c r="E160" s="32" t="s">
        <v>365</v>
      </c>
      <c r="F160" s="32" t="s">
        <v>375</v>
      </c>
      <c r="G160" s="28" t="s">
        <v>376</v>
      </c>
      <c r="H160" s="28" t="s">
        <v>91</v>
      </c>
      <c r="I160" s="28" t="s">
        <v>91</v>
      </c>
      <c r="J160" s="28" t="s">
        <v>91</v>
      </c>
      <c r="K160" s="28" t="s">
        <v>367</v>
      </c>
      <c r="L160" s="28" t="s">
        <v>91</v>
      </c>
      <c r="M160" s="27">
        <v>0</v>
      </c>
      <c r="N160" s="27">
        <v>1</v>
      </c>
      <c r="O160" s="27">
        <v>1</v>
      </c>
      <c r="P160" s="33" t="str">
        <f xml:space="preserve"> IF(co_impactTypes[[#This Row],[econMultiplierName]]="None", "N/A", 2010)</f>
        <v>N/A</v>
      </c>
    </row>
    <row r="161" spans="2:16" x14ac:dyDescent="0.2">
      <c r="B161" s="4">
        <f xml:space="preserve"> ROW( co_impactTypes[[#This Row],[row_id]] ) - ROW(co_impactTypes[[#Headers],[row_id]] )</f>
        <v>10</v>
      </c>
      <c r="C161" s="7" t="s">
        <v>372</v>
      </c>
      <c r="D161" s="28" t="s">
        <v>366</v>
      </c>
      <c r="E161" s="32" t="s">
        <v>366</v>
      </c>
      <c r="F161" s="32" t="s">
        <v>375</v>
      </c>
      <c r="G161" s="28" t="s">
        <v>376</v>
      </c>
      <c r="H161" s="28" t="s">
        <v>91</v>
      </c>
      <c r="I161" s="28" t="s">
        <v>91</v>
      </c>
      <c r="J161" s="28" t="s">
        <v>91</v>
      </c>
      <c r="K161" s="28" t="s">
        <v>369</v>
      </c>
      <c r="L161" s="28" t="s">
        <v>91</v>
      </c>
      <c r="M161" s="27">
        <v>0</v>
      </c>
      <c r="N161" s="27">
        <v>1</v>
      </c>
      <c r="O161" s="27">
        <v>1</v>
      </c>
      <c r="P161" s="33" t="str">
        <f xml:space="preserve"> IF(co_impactTypes[[#This Row],[econMultiplierName]]="None", "N/A", 2010)</f>
        <v>N/A</v>
      </c>
    </row>
    <row r="162" spans="2:16" x14ac:dyDescent="0.2">
      <c r="B162" s="4">
        <f xml:space="preserve"> ROW( co_impactTypes[[#This Row],[row_id]] ) - ROW(co_impactTypes[[#Headers],[row_id]] )</f>
        <v>11</v>
      </c>
      <c r="C162" s="7" t="s">
        <v>554</v>
      </c>
      <c r="D162" s="28" t="s">
        <v>38</v>
      </c>
      <c r="E162" s="47" t="s">
        <v>207</v>
      </c>
      <c r="F162" s="32" t="s">
        <v>111</v>
      </c>
      <c r="G162" s="28" t="s">
        <v>285</v>
      </c>
      <c r="H162" s="28" t="s">
        <v>87</v>
      </c>
      <c r="I162" s="28" t="s">
        <v>91</v>
      </c>
      <c r="J162" s="28" t="s">
        <v>91</v>
      </c>
      <c r="K162" s="28" t="s">
        <v>129</v>
      </c>
      <c r="L162" s="28" t="s">
        <v>92</v>
      </c>
      <c r="M162" s="27">
        <v>0</v>
      </c>
      <c r="N162" s="27">
        <v>1</v>
      </c>
      <c r="O162" s="27">
        <v>0.4</v>
      </c>
      <c r="P162" s="33">
        <f xml:space="preserve"> IF(co_impactTypes[[#This Row],[econMultiplierName]]="None", "N/A", 2010)</f>
        <v>2010</v>
      </c>
    </row>
    <row r="163" spans="2:16" x14ac:dyDescent="0.2">
      <c r="B163" s="4">
        <f xml:space="preserve"> ROW( co_impactTypes[[#This Row],[row_id]] ) - ROW(co_impactTypes[[#Headers],[row_id]] )</f>
        <v>12</v>
      </c>
      <c r="C163" s="7" t="s">
        <v>21</v>
      </c>
      <c r="D163" s="28" t="s">
        <v>38</v>
      </c>
      <c r="E163" s="47" t="s">
        <v>207</v>
      </c>
      <c r="F163" s="32" t="s">
        <v>145</v>
      </c>
      <c r="G163" s="28" t="s">
        <v>38</v>
      </c>
      <c r="H163" s="28" t="s">
        <v>91</v>
      </c>
      <c r="I163" s="28" t="s">
        <v>91</v>
      </c>
      <c r="J163" s="28" t="s">
        <v>91</v>
      </c>
      <c r="K163" s="28" t="s">
        <v>91</v>
      </c>
      <c r="L163" s="28" t="s">
        <v>91</v>
      </c>
      <c r="M163" s="27">
        <v>0</v>
      </c>
      <c r="N163" s="27">
        <v>1</v>
      </c>
      <c r="O163" s="27">
        <v>1</v>
      </c>
      <c r="P163" s="33" t="str">
        <f xml:space="preserve"> IF(co_impactTypes[[#This Row],[econMultiplierName]]="None", "N/A", 2010)</f>
        <v>N/A</v>
      </c>
    </row>
    <row r="164" spans="2:16" ht="33.75" x14ac:dyDescent="0.2">
      <c r="B164" s="4">
        <f xml:space="preserve"> ROW( co_impactTypes[[#This Row],[row_id]] ) - ROW(co_impactTypes[[#Headers],[row_id]] )</f>
        <v>13</v>
      </c>
      <c r="C164" s="7" t="s">
        <v>57</v>
      </c>
      <c r="D164" s="28" t="s">
        <v>38</v>
      </c>
      <c r="E164" s="47" t="s">
        <v>207</v>
      </c>
      <c r="F164" s="32" t="s">
        <v>265</v>
      </c>
      <c r="G164" s="28" t="s">
        <v>38</v>
      </c>
      <c r="H164" s="28" t="s">
        <v>91</v>
      </c>
      <c r="I164" s="28" t="s">
        <v>91</v>
      </c>
      <c r="J164" s="28" t="s">
        <v>95</v>
      </c>
      <c r="K164" s="28" t="s">
        <v>91</v>
      </c>
      <c r="L164" s="28" t="s">
        <v>91</v>
      </c>
      <c r="M164" s="27">
        <v>0</v>
      </c>
      <c r="N164" s="27">
        <v>1</v>
      </c>
      <c r="O164" s="27">
        <v>1</v>
      </c>
      <c r="P164" s="33" t="str">
        <f xml:space="preserve"> IF(co_impactTypes[[#This Row],[econMultiplierName]]="None", "N/A", 2010)</f>
        <v>N/A</v>
      </c>
    </row>
    <row r="165" spans="2:16" ht="22.5" x14ac:dyDescent="0.2">
      <c r="B165" s="4">
        <f xml:space="preserve"> ROW( co_impactTypes[[#This Row],[row_id]] ) - ROW(co_impactTypes[[#Headers],[row_id]] )</f>
        <v>14</v>
      </c>
      <c r="C165" s="7" t="s">
        <v>271</v>
      </c>
      <c r="D165" s="28" t="s">
        <v>38</v>
      </c>
      <c r="E165" s="47" t="s">
        <v>207</v>
      </c>
      <c r="F165" s="35" t="s">
        <v>250</v>
      </c>
      <c r="G165" s="28" t="s">
        <v>38</v>
      </c>
      <c r="H165" s="28" t="s">
        <v>91</v>
      </c>
      <c r="I165" s="25" t="s">
        <v>91</v>
      </c>
      <c r="J165" s="25" t="s">
        <v>272</v>
      </c>
      <c r="K165" s="28" t="s">
        <v>91</v>
      </c>
      <c r="L165" s="28" t="s">
        <v>91</v>
      </c>
      <c r="M165" s="27">
        <v>0</v>
      </c>
      <c r="N165" s="27">
        <v>1</v>
      </c>
      <c r="O165" s="27">
        <v>1</v>
      </c>
      <c r="P165" s="33" t="str">
        <f xml:space="preserve"> IF(co_impactTypes[[#This Row],[econMultiplierName]]="None", "N/A", 2010)</f>
        <v>N/A</v>
      </c>
    </row>
    <row r="166" spans="2:16" x14ac:dyDescent="0.2">
      <c r="B166" s="4">
        <f xml:space="preserve"> ROW( co_impactTypes[[#This Row],[row_id]] ) - ROW(co_impactTypes[[#Headers],[row_id]] )</f>
        <v>15</v>
      </c>
      <c r="C166" s="7" t="s">
        <v>15</v>
      </c>
      <c r="D166" s="28" t="s">
        <v>40</v>
      </c>
      <c r="E166" s="47" t="s">
        <v>14</v>
      </c>
      <c r="F166" s="32" t="s">
        <v>152</v>
      </c>
      <c r="G166" s="28" t="s">
        <v>285</v>
      </c>
      <c r="H166" s="28" t="s">
        <v>87</v>
      </c>
      <c r="I166" s="28" t="s">
        <v>93</v>
      </c>
      <c r="J166" s="28" t="s">
        <v>91</v>
      </c>
      <c r="K166" s="28" t="s">
        <v>129</v>
      </c>
      <c r="L166" s="28" t="s">
        <v>92</v>
      </c>
      <c r="M166" s="27">
        <v>0</v>
      </c>
      <c r="N166" s="27">
        <v>1</v>
      </c>
      <c r="O166" s="27">
        <v>0.4</v>
      </c>
      <c r="P166" s="33">
        <f xml:space="preserve"> IF(co_impactTypes[[#This Row],[econMultiplierName]]="None", "N/A", 2010)</f>
        <v>2010</v>
      </c>
    </row>
    <row r="167" spans="2:16" x14ac:dyDescent="0.2">
      <c r="B167" s="4">
        <f xml:space="preserve"> ROW( co_impactTypes[[#This Row],[row_id]] ) - ROW(co_impactTypes[[#Headers],[row_id]] )</f>
        <v>16</v>
      </c>
      <c r="C167" s="7" t="s">
        <v>15</v>
      </c>
      <c r="D167" s="28" t="s">
        <v>39</v>
      </c>
      <c r="E167" s="47" t="s">
        <v>13</v>
      </c>
      <c r="F167" s="32" t="s">
        <v>153</v>
      </c>
      <c r="G167" s="28" t="s">
        <v>285</v>
      </c>
      <c r="H167" s="28" t="s">
        <v>87</v>
      </c>
      <c r="I167" s="28" t="s">
        <v>93</v>
      </c>
      <c r="J167" s="28" t="s">
        <v>91</v>
      </c>
      <c r="K167" s="28" t="s">
        <v>129</v>
      </c>
      <c r="L167" s="28" t="s">
        <v>92</v>
      </c>
      <c r="M167" s="27">
        <v>0</v>
      </c>
      <c r="N167" s="27">
        <v>1</v>
      </c>
      <c r="O167" s="27">
        <v>0.4</v>
      </c>
      <c r="P167" s="33">
        <f xml:space="preserve"> IF(co_impactTypes[[#This Row],[econMultiplierName]]="None", "N/A", 2010)</f>
        <v>2010</v>
      </c>
    </row>
    <row r="168" spans="2:16" x14ac:dyDescent="0.2">
      <c r="B168" s="4">
        <f xml:space="preserve"> ROW( co_impactTypes[[#This Row],[row_id]] ) - ROW(co_impactTypes[[#Headers],[row_id]] )</f>
        <v>17</v>
      </c>
      <c r="C168" s="7" t="s">
        <v>661</v>
      </c>
      <c r="D168" s="28" t="s">
        <v>38</v>
      </c>
      <c r="E168" s="47" t="s">
        <v>207</v>
      </c>
      <c r="F168" s="32" t="s">
        <v>667</v>
      </c>
      <c r="G168" s="28" t="s">
        <v>38</v>
      </c>
      <c r="H168" s="28" t="s">
        <v>91</v>
      </c>
      <c r="I168" s="28" t="s">
        <v>91</v>
      </c>
      <c r="J168" s="28" t="s">
        <v>668</v>
      </c>
      <c r="K168" s="28" t="s">
        <v>92</v>
      </c>
      <c r="L168" s="28" t="s">
        <v>91</v>
      </c>
      <c r="M168" s="27">
        <v>0</v>
      </c>
      <c r="N168" s="27">
        <v>1</v>
      </c>
      <c r="O168" s="27">
        <v>1</v>
      </c>
      <c r="P168" s="33" t="str">
        <f xml:space="preserve"> IF(co_impactTypes[[#This Row],[econMultiplierName]]="None", "N/A", 2010)</f>
        <v>N/A</v>
      </c>
    </row>
    <row r="169" spans="2:16" ht="33.75" x14ac:dyDescent="0.2">
      <c r="B169" s="4">
        <f xml:space="preserve"> ROW( co_impactTypes[[#This Row],[row_id]] ) - ROW(co_impactTypes[[#Headers],[row_id]] )</f>
        <v>18</v>
      </c>
      <c r="C169" s="7" t="s">
        <v>58</v>
      </c>
      <c r="D169" s="28" t="s">
        <v>38</v>
      </c>
      <c r="E169" s="47" t="s">
        <v>207</v>
      </c>
      <c r="F169" s="32" t="s">
        <v>60</v>
      </c>
      <c r="G169" s="28" t="s">
        <v>38</v>
      </c>
      <c r="H169" s="28" t="s">
        <v>91</v>
      </c>
      <c r="I169" s="28" t="s">
        <v>91</v>
      </c>
      <c r="J169" s="28" t="s">
        <v>91</v>
      </c>
      <c r="K169" s="28" t="s">
        <v>91</v>
      </c>
      <c r="L169" s="28" t="s">
        <v>91</v>
      </c>
      <c r="M169" s="27">
        <v>0</v>
      </c>
      <c r="N169" s="27">
        <v>1</v>
      </c>
      <c r="O169" s="27">
        <v>1</v>
      </c>
      <c r="P169" s="33" t="str">
        <f xml:space="preserve"> IF(co_impactTypes[[#This Row],[econMultiplierName]]="None", "N/A", 2010)</f>
        <v>N/A</v>
      </c>
    </row>
    <row r="170" spans="2:16" ht="22.5" x14ac:dyDescent="0.2">
      <c r="B170" s="4">
        <f xml:space="preserve"> ROW( co_impactTypes[[#This Row],[row_id]] ) - ROW(co_impactTypes[[#Headers],[row_id]] )</f>
        <v>19</v>
      </c>
      <c r="C170" s="7" t="s">
        <v>19</v>
      </c>
      <c r="D170" s="28" t="s">
        <v>38</v>
      </c>
      <c r="E170" s="47" t="s">
        <v>207</v>
      </c>
      <c r="F170" s="32" t="s">
        <v>338</v>
      </c>
      <c r="G170" s="28" t="s">
        <v>38</v>
      </c>
      <c r="H170" s="28" t="s">
        <v>91</v>
      </c>
      <c r="I170" s="28" t="s">
        <v>91</v>
      </c>
      <c r="J170" s="28" t="s">
        <v>91</v>
      </c>
      <c r="K170" s="28" t="s">
        <v>91</v>
      </c>
      <c r="L170" s="28" t="s">
        <v>91</v>
      </c>
      <c r="M170" s="27">
        <v>0</v>
      </c>
      <c r="N170" s="27">
        <v>1</v>
      </c>
      <c r="O170" s="27">
        <v>1</v>
      </c>
      <c r="P170" s="33" t="str">
        <f xml:space="preserve"> IF(co_impactTypes[[#This Row],[econMultiplierName]]="None", "N/A", 2010)</f>
        <v>N/A</v>
      </c>
    </row>
    <row r="171" spans="2:16" ht="22.5" x14ac:dyDescent="0.2">
      <c r="B171" s="4">
        <f xml:space="preserve"> ROW( co_impactTypes[[#This Row],[row_id]] ) - ROW(co_impactTypes[[#Headers],[row_id]] )</f>
        <v>20</v>
      </c>
      <c r="C171" s="7" t="s">
        <v>18</v>
      </c>
      <c r="D171" s="28" t="s">
        <v>38</v>
      </c>
      <c r="E171" s="47" t="s">
        <v>207</v>
      </c>
      <c r="F171" s="32" t="s">
        <v>149</v>
      </c>
      <c r="G171" s="28" t="s">
        <v>562</v>
      </c>
      <c r="H171" s="28" t="s">
        <v>103</v>
      </c>
      <c r="I171" s="28" t="s">
        <v>91</v>
      </c>
      <c r="J171" s="28" t="s">
        <v>91</v>
      </c>
      <c r="K171" s="28" t="s">
        <v>279</v>
      </c>
      <c r="L171" s="28" t="s">
        <v>92</v>
      </c>
      <c r="M171" s="27">
        <v>0</v>
      </c>
      <c r="N171" s="27">
        <v>1</v>
      </c>
      <c r="O171" s="27">
        <v>1</v>
      </c>
      <c r="P171" s="33">
        <f xml:space="preserve"> IF(co_impactTypes[[#This Row],[econMultiplierName]]="None", "N/A", 2010)</f>
        <v>2010</v>
      </c>
    </row>
    <row r="172" spans="2:16" ht="22.5" x14ac:dyDescent="0.2">
      <c r="B172" s="4">
        <f xml:space="preserve"> ROW( co_impactTypes[[#This Row],[row_id]] ) - ROW(co_impactTypes[[#Headers],[row_id]] )</f>
        <v>21</v>
      </c>
      <c r="C172" s="7" t="s">
        <v>677</v>
      </c>
      <c r="D172" s="28" t="s">
        <v>682</v>
      </c>
      <c r="E172" s="28" t="s">
        <v>680</v>
      </c>
      <c r="F172" s="32" t="s">
        <v>684</v>
      </c>
      <c r="G172" s="28" t="s">
        <v>38</v>
      </c>
      <c r="H172" s="28" t="s">
        <v>87</v>
      </c>
      <c r="I172" s="28" t="s">
        <v>685</v>
      </c>
      <c r="J172" s="28" t="s">
        <v>91</v>
      </c>
      <c r="K172" s="28" t="s">
        <v>91</v>
      </c>
      <c r="L172" s="28" t="s">
        <v>91</v>
      </c>
      <c r="M172" s="27">
        <v>0</v>
      </c>
      <c r="N172" s="27">
        <v>1</v>
      </c>
      <c r="O172" s="27">
        <v>1</v>
      </c>
      <c r="P172" s="33" t="str">
        <f xml:space="preserve"> IF(co_impactTypes[[#This Row],[econMultiplierName]]="None", "N/A", 2010)</f>
        <v>N/A</v>
      </c>
    </row>
    <row r="173" spans="2:16" ht="22.5" x14ac:dyDescent="0.2">
      <c r="B173" s="4">
        <f xml:space="preserve"> ROW( co_impactTypes[[#This Row],[row_id]] ) - ROW(co_impactTypes[[#Headers],[row_id]] )</f>
        <v>22</v>
      </c>
      <c r="C173" s="7" t="s">
        <v>677</v>
      </c>
      <c r="D173" s="28" t="s">
        <v>683</v>
      </c>
      <c r="E173" s="28" t="s">
        <v>681</v>
      </c>
      <c r="F173" s="32" t="s">
        <v>687</v>
      </c>
      <c r="G173" s="28" t="s">
        <v>38</v>
      </c>
      <c r="H173" s="28" t="s">
        <v>87</v>
      </c>
      <c r="I173" s="28" t="s">
        <v>685</v>
      </c>
      <c r="J173" s="28" t="s">
        <v>91</v>
      </c>
      <c r="K173" s="28" t="s">
        <v>91</v>
      </c>
      <c r="L173" s="28" t="s">
        <v>91</v>
      </c>
      <c r="M173" s="27">
        <v>0</v>
      </c>
      <c r="N173" s="27">
        <v>1</v>
      </c>
      <c r="O173" s="27">
        <v>1</v>
      </c>
      <c r="P173" s="33" t="str">
        <f xml:space="preserve"> IF(co_impactTypes[[#This Row],[econMultiplierName]]="None", "N/A", 2010)</f>
        <v>N/A</v>
      </c>
    </row>
    <row r="174" spans="2:16" ht="22.5" x14ac:dyDescent="0.2">
      <c r="B174" s="4">
        <f xml:space="preserve"> ROW( co_impactTypes[[#This Row],[row_id]] ) - ROW(co_impactTypes[[#Headers],[row_id]] )</f>
        <v>23</v>
      </c>
      <c r="C174" s="7" t="s">
        <v>628</v>
      </c>
      <c r="D174" s="28" t="s">
        <v>38</v>
      </c>
      <c r="E174" s="47" t="s">
        <v>207</v>
      </c>
      <c r="F174" s="32" t="s">
        <v>630</v>
      </c>
      <c r="G174" s="28" t="s">
        <v>631</v>
      </c>
      <c r="H174" s="28" t="s">
        <v>87</v>
      </c>
      <c r="I174" s="28" t="s">
        <v>91</v>
      </c>
      <c r="J174" s="28" t="s">
        <v>91</v>
      </c>
      <c r="K174" s="28" t="s">
        <v>632</v>
      </c>
      <c r="L174" s="28" t="s">
        <v>91</v>
      </c>
      <c r="M174" s="27">
        <v>0</v>
      </c>
      <c r="N174" s="27">
        <v>1</v>
      </c>
      <c r="O174" s="27">
        <v>1</v>
      </c>
      <c r="P174" s="33" t="str">
        <f xml:space="preserve"> IF(co_impactTypes[[#This Row],[econMultiplierName]]="None", "N/A", 2010)</f>
        <v>N/A</v>
      </c>
    </row>
    <row r="175" spans="2:16" x14ac:dyDescent="0.2">
      <c r="B175" s="4">
        <f xml:space="preserve"> ROW( co_impactTypes[[#This Row],[row_id]] ) - ROW(co_impactTypes[[#Headers],[row_id]] )</f>
        <v>24</v>
      </c>
      <c r="C175" s="7" t="s">
        <v>59</v>
      </c>
      <c r="D175" s="28" t="s">
        <v>38</v>
      </c>
      <c r="E175" s="47" t="s">
        <v>207</v>
      </c>
      <c r="F175" s="32" t="s">
        <v>354</v>
      </c>
      <c r="G175" s="28" t="s">
        <v>38</v>
      </c>
      <c r="H175" s="28" t="s">
        <v>91</v>
      </c>
      <c r="I175" s="28" t="s">
        <v>91</v>
      </c>
      <c r="J175" s="28" t="s">
        <v>91</v>
      </c>
      <c r="K175" s="28" t="s">
        <v>91</v>
      </c>
      <c r="L175" s="28" t="s">
        <v>91</v>
      </c>
      <c r="M175" s="27">
        <v>0</v>
      </c>
      <c r="N175" s="27">
        <v>1000000</v>
      </c>
      <c r="O175" s="27">
        <v>1</v>
      </c>
      <c r="P175" s="33" t="str">
        <f xml:space="preserve"> IF(co_impactTypes[[#This Row],[econMultiplierName]]="None", "N/A", 2010)</f>
        <v>N/A</v>
      </c>
    </row>
    <row r="176" spans="2:16" ht="13.5" customHeight="1" x14ac:dyDescent="0.2">
      <c r="B176" s="4">
        <f xml:space="preserve"> ROW( co_impactTypes[[#This Row],[row_id]] ) - ROW(co_impactTypes[[#Headers],[row_id]] )</f>
        <v>25</v>
      </c>
      <c r="C176" s="7" t="s">
        <v>621</v>
      </c>
      <c r="D176" s="28" t="s">
        <v>613</v>
      </c>
      <c r="E176" s="47" t="s">
        <v>603</v>
      </c>
      <c r="F176" s="32" t="s">
        <v>611</v>
      </c>
      <c r="G176" s="28" t="s">
        <v>619</v>
      </c>
      <c r="H176" s="28" t="s">
        <v>91</v>
      </c>
      <c r="I176" s="28" t="s">
        <v>91</v>
      </c>
      <c r="J176" s="28" t="s">
        <v>91</v>
      </c>
      <c r="K176" s="28" t="s">
        <v>91</v>
      </c>
      <c r="L176" s="28" t="s">
        <v>91</v>
      </c>
      <c r="M176" s="27">
        <v>0</v>
      </c>
      <c r="N176" s="27">
        <v>0</v>
      </c>
      <c r="O176" s="27">
        <v>1</v>
      </c>
      <c r="P176" s="33" t="str">
        <f xml:space="preserve"> IF(co_impactTypes[[#This Row],[econMultiplierName]]="None", "N/A", 2010)</f>
        <v>N/A</v>
      </c>
    </row>
    <row r="177" spans="2:16" ht="33.75" x14ac:dyDescent="0.2">
      <c r="B177" s="4">
        <f xml:space="preserve"> ROW( co_impactTypes[[#This Row],[row_id]] ) - ROW(co_impactTypes[[#Headers],[row_id]] )</f>
        <v>26</v>
      </c>
      <c r="C177" s="7" t="s">
        <v>621</v>
      </c>
      <c r="D177" s="28" t="s">
        <v>614</v>
      </c>
      <c r="E177" s="47" t="s">
        <v>604</v>
      </c>
      <c r="F177" s="32" t="s">
        <v>612</v>
      </c>
      <c r="G177" s="28" t="s">
        <v>620</v>
      </c>
      <c r="H177" s="28" t="s">
        <v>91</v>
      </c>
      <c r="I177" s="28" t="s">
        <v>91</v>
      </c>
      <c r="J177" s="28" t="s">
        <v>91</v>
      </c>
      <c r="K177" s="28" t="s">
        <v>91</v>
      </c>
      <c r="L177" s="28" t="s">
        <v>91</v>
      </c>
      <c r="M177" s="27">
        <v>0</v>
      </c>
      <c r="N177" s="27">
        <v>0</v>
      </c>
      <c r="O177" s="27">
        <v>1</v>
      </c>
      <c r="P177" s="33" t="str">
        <f xml:space="preserve"> IF(co_impactTypes[[#This Row],[econMultiplierName]]="None", "N/A", 2010)</f>
        <v>N/A</v>
      </c>
    </row>
    <row r="178" spans="2:16" x14ac:dyDescent="0.2">
      <c r="B178" s="4">
        <f xml:space="preserve"> ROW( co_impactTypes[[#This Row],[row_id]] ) - ROW(co_impactTypes[[#Headers],[row_id]] )</f>
        <v>27</v>
      </c>
      <c r="C178" s="7" t="s">
        <v>621</v>
      </c>
      <c r="D178" s="28" t="s">
        <v>615</v>
      </c>
      <c r="E178" s="47" t="s">
        <v>605</v>
      </c>
      <c r="F178" s="32" t="s">
        <v>608</v>
      </c>
      <c r="G178" s="28" t="s">
        <v>618</v>
      </c>
      <c r="H178" s="28" t="s">
        <v>91</v>
      </c>
      <c r="I178" s="28" t="s">
        <v>91</v>
      </c>
      <c r="J178" s="28" t="s">
        <v>91</v>
      </c>
      <c r="K178" s="28" t="s">
        <v>91</v>
      </c>
      <c r="L178" s="28" t="s">
        <v>91</v>
      </c>
      <c r="M178" s="27">
        <v>0</v>
      </c>
      <c r="N178" s="27">
        <v>0</v>
      </c>
      <c r="O178" s="27">
        <v>1</v>
      </c>
      <c r="P178" s="33" t="str">
        <f xml:space="preserve"> IF(co_impactTypes[[#This Row],[econMultiplierName]]="None", "N/A", 2010)</f>
        <v>N/A</v>
      </c>
    </row>
    <row r="179" spans="2:16" ht="18.75" customHeight="1" x14ac:dyDescent="0.2">
      <c r="B179" s="4">
        <f xml:space="preserve"> ROW( co_impactTypes[[#This Row],[row_id]] ) - ROW(co_impactTypes[[#Headers],[row_id]] )</f>
        <v>28</v>
      </c>
      <c r="C179" s="7" t="s">
        <v>621</v>
      </c>
      <c r="D179" s="28" t="s">
        <v>616</v>
      </c>
      <c r="E179" s="47" t="s">
        <v>606</v>
      </c>
      <c r="F179" s="32" t="s">
        <v>609</v>
      </c>
      <c r="G179" s="28" t="s">
        <v>38</v>
      </c>
      <c r="H179" s="28" t="s">
        <v>91</v>
      </c>
      <c r="I179" s="28" t="s">
        <v>91</v>
      </c>
      <c r="J179" s="28" t="s">
        <v>91</v>
      </c>
      <c r="K179" s="28" t="s">
        <v>91</v>
      </c>
      <c r="L179" s="28" t="s">
        <v>91</v>
      </c>
      <c r="M179" s="27">
        <v>0</v>
      </c>
      <c r="N179" s="27">
        <v>1</v>
      </c>
      <c r="O179" s="27">
        <v>1</v>
      </c>
      <c r="P179" s="33" t="str">
        <f xml:space="preserve"> IF(co_impactTypes[[#This Row],[econMultiplierName]]="None", "N/A", 2010)</f>
        <v>N/A</v>
      </c>
    </row>
    <row r="180" spans="2:16" x14ac:dyDescent="0.2">
      <c r="B180" s="4">
        <f xml:space="preserve"> ROW( co_impactTypes[[#This Row],[row_id]] ) - ROW(co_impactTypes[[#Headers],[row_id]] )</f>
        <v>29</v>
      </c>
      <c r="C180" s="7" t="s">
        <v>622</v>
      </c>
      <c r="D180" s="28" t="s">
        <v>617</v>
      </c>
      <c r="E180" s="47" t="s">
        <v>607</v>
      </c>
      <c r="F180" s="32" t="s">
        <v>610</v>
      </c>
      <c r="G180" s="28" t="s">
        <v>38</v>
      </c>
      <c r="H180" s="28" t="s">
        <v>91</v>
      </c>
      <c r="I180" s="28" t="s">
        <v>91</v>
      </c>
      <c r="J180" s="28" t="s">
        <v>91</v>
      </c>
      <c r="K180" s="28" t="s">
        <v>91</v>
      </c>
      <c r="L180" s="28" t="s">
        <v>91</v>
      </c>
      <c r="M180" s="27">
        <v>0</v>
      </c>
      <c r="N180" s="27">
        <v>1</v>
      </c>
      <c r="O180" s="27">
        <v>1</v>
      </c>
      <c r="P180" s="33" t="str">
        <f xml:space="preserve"> IF(co_impactTypes[[#This Row],[econMultiplierName]]="None", "N/A", 2010)</f>
        <v>N/A</v>
      </c>
    </row>
    <row r="181" spans="2:16" x14ac:dyDescent="0.2">
      <c r="B181" s="4">
        <f xml:space="preserve"> ROW( co_impactTypes[[#This Row],[row_id]] ) - ROW(co_impactTypes[[#Headers],[row_id]] )</f>
        <v>30</v>
      </c>
      <c r="C181" s="7" t="s">
        <v>634</v>
      </c>
      <c r="D181" s="28" t="s">
        <v>636</v>
      </c>
      <c r="E181" s="47" t="s">
        <v>637</v>
      </c>
      <c r="F181" s="32" t="s">
        <v>646</v>
      </c>
      <c r="G181" s="28" t="s">
        <v>38</v>
      </c>
      <c r="H181" s="28" t="s">
        <v>87</v>
      </c>
      <c r="I181" s="28" t="s">
        <v>652</v>
      </c>
      <c r="J181" s="28" t="s">
        <v>91</v>
      </c>
      <c r="K181" s="28" t="s">
        <v>653</v>
      </c>
      <c r="L181" s="28" t="s">
        <v>91</v>
      </c>
      <c r="M181" s="27">
        <v>0</v>
      </c>
      <c r="N181" s="27">
        <v>1</v>
      </c>
      <c r="O181" s="27">
        <v>1</v>
      </c>
      <c r="P181" s="33" t="str">
        <f xml:space="preserve"> IF(co_impactTypes[[#This Row],[econMultiplierName]]="None", "N/A", 2010)</f>
        <v>N/A</v>
      </c>
    </row>
    <row r="182" spans="2:16" x14ac:dyDescent="0.2">
      <c r="B182" s="4">
        <f xml:space="preserve"> ROW( co_impactTypes[[#This Row],[row_id]] ) - ROW(co_impactTypes[[#Headers],[row_id]] )</f>
        <v>31</v>
      </c>
      <c r="C182" s="7" t="s">
        <v>634</v>
      </c>
      <c r="D182" s="28" t="s">
        <v>638</v>
      </c>
      <c r="E182" s="47" t="s">
        <v>639</v>
      </c>
      <c r="F182" s="32" t="s">
        <v>647</v>
      </c>
      <c r="G182" s="28" t="s">
        <v>38</v>
      </c>
      <c r="H182" s="28" t="s">
        <v>87</v>
      </c>
      <c r="I182" s="28" t="s">
        <v>652</v>
      </c>
      <c r="J182" s="28" t="s">
        <v>91</v>
      </c>
      <c r="K182" s="28" t="s">
        <v>654</v>
      </c>
      <c r="L182" s="28" t="s">
        <v>91</v>
      </c>
      <c r="M182" s="27">
        <v>0</v>
      </c>
      <c r="N182" s="27">
        <v>1</v>
      </c>
      <c r="O182" s="27">
        <v>1</v>
      </c>
      <c r="P182" s="33" t="str">
        <f xml:space="preserve"> IF(co_impactTypes[[#This Row],[econMultiplierName]]="None", "N/A", 2010)</f>
        <v>N/A</v>
      </c>
    </row>
    <row r="183" spans="2:16" x14ac:dyDescent="0.2">
      <c r="B183" s="4">
        <f xml:space="preserve"> ROW( co_impactTypes[[#This Row],[row_id]] ) - ROW(co_impactTypes[[#Headers],[row_id]] )</f>
        <v>32</v>
      </c>
      <c r="C183" s="7" t="s">
        <v>634</v>
      </c>
      <c r="D183" s="28" t="s">
        <v>640</v>
      </c>
      <c r="E183" s="47" t="s">
        <v>641</v>
      </c>
      <c r="F183" s="32" t="s">
        <v>648</v>
      </c>
      <c r="G183" s="28" t="s">
        <v>38</v>
      </c>
      <c r="H183" s="28" t="s">
        <v>87</v>
      </c>
      <c r="I183" s="28" t="s">
        <v>652</v>
      </c>
      <c r="J183" s="28" t="s">
        <v>91</v>
      </c>
      <c r="K183" s="28" t="s">
        <v>655</v>
      </c>
      <c r="L183" s="28" t="s">
        <v>91</v>
      </c>
      <c r="M183" s="27">
        <v>0</v>
      </c>
      <c r="N183" s="27">
        <v>1</v>
      </c>
      <c r="O183" s="27">
        <v>1</v>
      </c>
      <c r="P183" s="33" t="str">
        <f xml:space="preserve"> IF(co_impactTypes[[#This Row],[econMultiplierName]]="None", "N/A", 2010)</f>
        <v>N/A</v>
      </c>
    </row>
    <row r="184" spans="2:16" x14ac:dyDescent="0.2">
      <c r="B184" s="4">
        <f xml:space="preserve"> ROW( co_impactTypes[[#This Row],[row_id]] ) - ROW(co_impactTypes[[#Headers],[row_id]] )</f>
        <v>33</v>
      </c>
      <c r="C184" s="7" t="s">
        <v>634</v>
      </c>
      <c r="D184" s="28" t="s">
        <v>643</v>
      </c>
      <c r="E184" s="28" t="s">
        <v>642</v>
      </c>
      <c r="F184" s="32" t="s">
        <v>649</v>
      </c>
      <c r="G184" s="28" t="s">
        <v>38</v>
      </c>
      <c r="H184" s="28" t="s">
        <v>87</v>
      </c>
      <c r="I184" s="28" t="s">
        <v>652</v>
      </c>
      <c r="J184" s="28" t="s">
        <v>91</v>
      </c>
      <c r="K184" s="28" t="s">
        <v>91</v>
      </c>
      <c r="L184" s="28" t="s">
        <v>91</v>
      </c>
      <c r="M184" s="27">
        <v>0</v>
      </c>
      <c r="N184" s="27">
        <v>1</v>
      </c>
      <c r="O184" s="27">
        <v>1</v>
      </c>
      <c r="P184" s="33" t="str">
        <f xml:space="preserve"> IF(co_impactTypes[[#This Row],[econMultiplierName]]="None", "N/A", 2010)</f>
        <v>N/A</v>
      </c>
    </row>
    <row r="185" spans="2:16" x14ac:dyDescent="0.2">
      <c r="B185" s="4">
        <f xml:space="preserve"> ROW( co_impactTypes[[#This Row],[row_id]] ) - ROW(co_impactTypes[[#Headers],[row_id]] )</f>
        <v>34</v>
      </c>
      <c r="C185" s="7" t="s">
        <v>634</v>
      </c>
      <c r="D185" s="28" t="s">
        <v>644</v>
      </c>
      <c r="E185" s="47" t="s">
        <v>645</v>
      </c>
      <c r="F185" s="32" t="s">
        <v>650</v>
      </c>
      <c r="G185" s="28" t="s">
        <v>651</v>
      </c>
      <c r="H185" s="28" t="s">
        <v>87</v>
      </c>
      <c r="I185" s="28" t="s">
        <v>652</v>
      </c>
      <c r="J185" s="28" t="s">
        <v>91</v>
      </c>
      <c r="K185" s="28" t="s">
        <v>91</v>
      </c>
      <c r="L185" s="28" t="s">
        <v>91</v>
      </c>
      <c r="M185" s="27">
        <v>0</v>
      </c>
      <c r="N185" s="27">
        <v>0</v>
      </c>
      <c r="O185" s="27">
        <v>1</v>
      </c>
      <c r="P185" s="33" t="str">
        <f xml:space="preserve"> IF(co_impactTypes[[#This Row],[econMultiplierName]]="None", "N/A", 2010)</f>
        <v>N/A</v>
      </c>
    </row>
    <row r="186" spans="2:16" x14ac:dyDescent="0.2">
      <c r="B186" s="4">
        <f xml:space="preserve"> ROW( co_impactTypes[[#This Row],[row_id]] ) - ROW(co_impactTypes[[#Headers],[row_id]] )</f>
        <v>35</v>
      </c>
      <c r="C186" s="7" t="s">
        <v>555</v>
      </c>
      <c r="D186" s="28" t="s">
        <v>38</v>
      </c>
      <c r="E186" s="47" t="s">
        <v>207</v>
      </c>
      <c r="F186" s="32" t="s">
        <v>435</v>
      </c>
      <c r="G186" s="28" t="s">
        <v>285</v>
      </c>
      <c r="H186" s="28" t="s">
        <v>87</v>
      </c>
      <c r="I186" s="28" t="s">
        <v>438</v>
      </c>
      <c r="J186" s="28" t="s">
        <v>436</v>
      </c>
      <c r="K186" s="28" t="s">
        <v>129</v>
      </c>
      <c r="L186" s="28" t="s">
        <v>92</v>
      </c>
      <c r="M186" s="27">
        <v>0</v>
      </c>
      <c r="N186" s="27">
        <v>1</v>
      </c>
      <c r="O186" s="27">
        <v>0.4</v>
      </c>
      <c r="P186" s="33">
        <f xml:space="preserve"> IF(co_impactTypes[[#This Row],[econMultiplierName]]="None", "N/A", 2010)</f>
        <v>2010</v>
      </c>
    </row>
    <row r="187" spans="2:16" x14ac:dyDescent="0.2">
      <c r="B187" s="4">
        <f xml:space="preserve"> ROW( co_impactTypes[[#This Row],[row_id]] ) - ROW(co_impactTypes[[#Headers],[row_id]] )</f>
        <v>36</v>
      </c>
      <c r="C187" s="7" t="s">
        <v>46</v>
      </c>
      <c r="D187" s="28" t="s">
        <v>38</v>
      </c>
      <c r="E187" s="47" t="s">
        <v>207</v>
      </c>
      <c r="F187" s="35" t="s">
        <v>147</v>
      </c>
      <c r="G187" s="28" t="s">
        <v>52</v>
      </c>
      <c r="H187" s="28" t="s">
        <v>72</v>
      </c>
      <c r="I187" s="25" t="s">
        <v>91</v>
      </c>
      <c r="J187" s="25" t="s">
        <v>124</v>
      </c>
      <c r="K187" s="28" t="s">
        <v>91</v>
      </c>
      <c r="L187" s="28" t="s">
        <v>91</v>
      </c>
      <c r="M187" s="27">
        <v>0</v>
      </c>
      <c r="N187" s="27">
        <v>1</v>
      </c>
      <c r="O187" s="27">
        <v>1</v>
      </c>
      <c r="P187" s="33" t="str">
        <f xml:space="preserve"> IF(co_impactTypes[[#This Row],[econMultiplierName]]="None", "N/A", 2010)</f>
        <v>N/A</v>
      </c>
    </row>
    <row r="188" spans="2:16" x14ac:dyDescent="0.2">
      <c r="B188" s="4">
        <f xml:space="preserve"> ROW( co_impactTypes[[#This Row],[row_id]] ) - ROW(co_impactTypes[[#Headers],[row_id]] )</f>
        <v>37</v>
      </c>
      <c r="C188" s="7" t="s">
        <v>53</v>
      </c>
      <c r="D188" s="28" t="s">
        <v>38</v>
      </c>
      <c r="E188" s="47" t="s">
        <v>207</v>
      </c>
      <c r="F188" s="35" t="s">
        <v>150</v>
      </c>
      <c r="G188" s="28" t="s">
        <v>139</v>
      </c>
      <c r="H188" s="28" t="s">
        <v>86</v>
      </c>
      <c r="I188" s="25" t="s">
        <v>91</v>
      </c>
      <c r="J188" s="25" t="s">
        <v>73</v>
      </c>
      <c r="K188" s="28" t="s">
        <v>91</v>
      </c>
      <c r="L188" s="28" t="s">
        <v>91</v>
      </c>
      <c r="M188" s="27">
        <v>0</v>
      </c>
      <c r="N188" s="27">
        <v>1</v>
      </c>
      <c r="O188" s="27">
        <v>1</v>
      </c>
      <c r="P188" s="33" t="str">
        <f xml:space="preserve"> IF(co_impactTypes[[#This Row],[econMultiplierName]]="None", "N/A", 2010)</f>
        <v>N/A</v>
      </c>
    </row>
    <row r="189" spans="2:16" ht="22.5" x14ac:dyDescent="0.2">
      <c r="B189" s="4">
        <f xml:space="preserve"> ROW( co_impactTypes[[#This Row],[row_id]] ) - ROW(co_impactTypes[[#Headers],[row_id]] )</f>
        <v>38</v>
      </c>
      <c r="C189" s="7" t="s">
        <v>20</v>
      </c>
      <c r="D189" s="28" t="s">
        <v>251</v>
      </c>
      <c r="E189" s="47" t="s">
        <v>32</v>
      </c>
      <c r="F189" s="32" t="s">
        <v>51</v>
      </c>
      <c r="G189" s="28" t="s">
        <v>563</v>
      </c>
      <c r="H189" s="28" t="s">
        <v>87</v>
      </c>
      <c r="I189" s="28" t="s">
        <v>573</v>
      </c>
      <c r="J189" s="28" t="s">
        <v>91</v>
      </c>
      <c r="K189" s="28" t="s">
        <v>131</v>
      </c>
      <c r="L189" s="28" t="s">
        <v>91</v>
      </c>
      <c r="M189" s="27">
        <v>0</v>
      </c>
      <c r="N189" s="27">
        <v>1</v>
      </c>
      <c r="O189" s="27">
        <v>1</v>
      </c>
      <c r="P189" s="33" t="str">
        <f xml:space="preserve"> IF(co_impactTypes[[#This Row],[econMultiplierName]]="None", "N/A", 2010)</f>
        <v>N/A</v>
      </c>
    </row>
    <row r="190" spans="2:16" ht="22.5" x14ac:dyDescent="0.2">
      <c r="B190" s="4">
        <f xml:space="preserve"> ROW( co_impactTypes[[#This Row],[row_id]] ) - ROW(co_impactTypes[[#Headers],[row_id]] )</f>
        <v>39</v>
      </c>
      <c r="C190" s="7" t="s">
        <v>20</v>
      </c>
      <c r="D190" s="28" t="s">
        <v>54</v>
      </c>
      <c r="E190" s="47" t="s">
        <v>31</v>
      </c>
      <c r="F190" s="32" t="s">
        <v>50</v>
      </c>
      <c r="G190" s="28" t="s">
        <v>563</v>
      </c>
      <c r="H190" s="28" t="s">
        <v>87</v>
      </c>
      <c r="I190" s="28" t="s">
        <v>573</v>
      </c>
      <c r="J190" s="28" t="s">
        <v>91</v>
      </c>
      <c r="K190" s="28" t="s">
        <v>131</v>
      </c>
      <c r="L190" s="28" t="s">
        <v>91</v>
      </c>
      <c r="M190" s="27">
        <v>0</v>
      </c>
      <c r="N190" s="27">
        <v>1</v>
      </c>
      <c r="O190" s="27">
        <v>1</v>
      </c>
      <c r="P190" s="33" t="str">
        <f xml:space="preserve"> IF(co_impactTypes[[#This Row],[econMultiplierName]]="None", "N/A", 2010)</f>
        <v>N/A</v>
      </c>
    </row>
    <row r="191" spans="2:16" x14ac:dyDescent="0.2">
      <c r="B191" s="4">
        <f xml:space="preserve"> ROW( co_impactTypes[[#This Row],[row_id]] ) - ROW(co_impactTypes[[#Headers],[row_id]] )</f>
        <v>40</v>
      </c>
      <c r="C191" s="7" t="s">
        <v>20</v>
      </c>
      <c r="D191" s="28" t="s">
        <v>41</v>
      </c>
      <c r="E191" s="47" t="s">
        <v>28</v>
      </c>
      <c r="F191" s="32" t="s">
        <v>41</v>
      </c>
      <c r="G191" s="28" t="s">
        <v>285</v>
      </c>
      <c r="H191" s="28" t="s">
        <v>87</v>
      </c>
      <c r="I191" s="28" t="s">
        <v>574</v>
      </c>
      <c r="J191" s="28" t="s">
        <v>91</v>
      </c>
      <c r="K191" s="28" t="s">
        <v>129</v>
      </c>
      <c r="L191" s="28" t="s">
        <v>92</v>
      </c>
      <c r="M191" s="27">
        <v>0</v>
      </c>
      <c r="N191" s="27">
        <v>1</v>
      </c>
      <c r="O191" s="27">
        <v>0.4</v>
      </c>
      <c r="P191" s="33">
        <f xml:space="preserve"> IF(co_impactTypes[[#This Row],[econMultiplierName]]="None", "N/A", 2010)</f>
        <v>2010</v>
      </c>
    </row>
    <row r="192" spans="2:16" x14ac:dyDescent="0.2">
      <c r="B192" s="4">
        <f xml:space="preserve"> ROW( co_impactTypes[[#This Row],[row_id]] ) - ROW(co_impactTypes[[#Headers],[row_id]] )</f>
        <v>41</v>
      </c>
      <c r="C192" s="7" t="s">
        <v>20</v>
      </c>
      <c r="D192" s="28" t="s">
        <v>42</v>
      </c>
      <c r="E192" s="47" t="s">
        <v>30</v>
      </c>
      <c r="F192" s="32" t="s">
        <v>49</v>
      </c>
      <c r="G192" s="28" t="s">
        <v>563</v>
      </c>
      <c r="H192" s="28" t="s">
        <v>87</v>
      </c>
      <c r="I192" s="28" t="s">
        <v>573</v>
      </c>
      <c r="J192" s="28" t="s">
        <v>91</v>
      </c>
      <c r="K192" s="28" t="s">
        <v>132</v>
      </c>
      <c r="L192" s="28" t="s">
        <v>91</v>
      </c>
      <c r="M192" s="27">
        <v>0</v>
      </c>
      <c r="N192" s="27">
        <v>1</v>
      </c>
      <c r="O192" s="27">
        <v>1</v>
      </c>
      <c r="P192" s="33" t="str">
        <f xml:space="preserve"> IF(co_impactTypes[[#This Row],[econMultiplierName]]="None", "N/A", 2010)</f>
        <v>N/A</v>
      </c>
    </row>
    <row r="193" spans="2:16" x14ac:dyDescent="0.2">
      <c r="B193" s="4">
        <f xml:space="preserve"> ROW( co_impactTypes[[#This Row],[row_id]] ) - ROW(co_impactTypes[[#Headers],[row_id]] )</f>
        <v>42</v>
      </c>
      <c r="C193" s="7" t="s">
        <v>20</v>
      </c>
      <c r="D193" s="28" t="s">
        <v>85</v>
      </c>
      <c r="E193" s="47" t="s">
        <v>29</v>
      </c>
      <c r="F193" s="32" t="s">
        <v>151</v>
      </c>
      <c r="G193" s="28" t="s">
        <v>564</v>
      </c>
      <c r="H193" s="28" t="s">
        <v>87</v>
      </c>
      <c r="I193" s="28" t="s">
        <v>91</v>
      </c>
      <c r="J193" s="28" t="s">
        <v>91</v>
      </c>
      <c r="K193" s="28" t="s">
        <v>154</v>
      </c>
      <c r="L193" s="28" t="s">
        <v>91</v>
      </c>
      <c r="M193" s="27">
        <v>0</v>
      </c>
      <c r="N193" s="27">
        <v>1</v>
      </c>
      <c r="O193" s="27">
        <v>1</v>
      </c>
      <c r="P193" s="33" t="str">
        <f xml:space="preserve"> IF(co_impactTypes[[#This Row],[econMultiplierName]]="None", "N/A", 2010)</f>
        <v>N/A</v>
      </c>
    </row>
    <row r="194" spans="2:16" ht="33.75" x14ac:dyDescent="0.2">
      <c r="B194" s="4">
        <f xml:space="preserve"> ROW( co_impactTypes[[#This Row],[row_id]] ) - ROW(co_impactTypes[[#Headers],[row_id]] )</f>
        <v>43</v>
      </c>
      <c r="C194" s="7" t="s">
        <v>61</v>
      </c>
      <c r="D194" s="28" t="s">
        <v>38</v>
      </c>
      <c r="E194" s="47" t="s">
        <v>207</v>
      </c>
      <c r="F194" s="32" t="s">
        <v>264</v>
      </c>
      <c r="G194" s="28" t="s">
        <v>38</v>
      </c>
      <c r="H194" s="28" t="s">
        <v>91</v>
      </c>
      <c r="I194" s="28" t="s">
        <v>91</v>
      </c>
      <c r="J194" s="28" t="s">
        <v>91</v>
      </c>
      <c r="K194" s="28" t="s">
        <v>91</v>
      </c>
      <c r="L194" s="28" t="s">
        <v>91</v>
      </c>
      <c r="M194" s="27">
        <v>0</v>
      </c>
      <c r="N194" s="27">
        <f>10^6</f>
        <v>1000000</v>
      </c>
      <c r="O194" s="27">
        <v>1</v>
      </c>
      <c r="P194" s="33" t="str">
        <f xml:space="preserve"> IF(co_impactTypes[[#This Row],[econMultiplierName]]="None", "N/A", 2010)</f>
        <v>N/A</v>
      </c>
    </row>
    <row r="195" spans="2:16" x14ac:dyDescent="0.2">
      <c r="B195" s="4">
        <f xml:space="preserve"> ROW( co_impactTypes[[#This Row],[row_id]] ) - ROW(co_impactTypes[[#Headers],[row_id]] )</f>
        <v>44</v>
      </c>
      <c r="C195" s="7" t="s">
        <v>252</v>
      </c>
      <c r="D195" s="28" t="s">
        <v>263</v>
      </c>
      <c r="E195" s="47" t="s">
        <v>146</v>
      </c>
      <c r="F195" s="32" t="s">
        <v>263</v>
      </c>
      <c r="G195" s="28" t="s">
        <v>565</v>
      </c>
      <c r="H195" s="28" t="s">
        <v>87</v>
      </c>
      <c r="I195" s="28" t="s">
        <v>258</v>
      </c>
      <c r="J195" s="28" t="s">
        <v>91</v>
      </c>
      <c r="K195" s="28" t="s">
        <v>259</v>
      </c>
      <c r="L195" s="28" t="s">
        <v>92</v>
      </c>
      <c r="M195" s="27">
        <v>0</v>
      </c>
      <c r="N195" s="27">
        <v>1</v>
      </c>
      <c r="O195" s="27">
        <v>1</v>
      </c>
      <c r="P195" s="33">
        <f xml:space="preserve"> IF(co_impactTypes[[#This Row],[econMultiplierName]]="None", "N/A", 2010)</f>
        <v>2010</v>
      </c>
    </row>
    <row r="196" spans="2:16" x14ac:dyDescent="0.2">
      <c r="B196" s="4">
        <f xml:space="preserve"> ROW( co_impactTypes[[#This Row],[row_id]] ) - ROW(co_impactTypes[[#Headers],[row_id]] )</f>
        <v>45</v>
      </c>
      <c r="C196" s="7" t="s">
        <v>252</v>
      </c>
      <c r="D196" s="28" t="s">
        <v>112</v>
      </c>
      <c r="E196" s="68" t="s">
        <v>112</v>
      </c>
      <c r="F196" s="32" t="s">
        <v>112</v>
      </c>
      <c r="G196" s="28" t="s">
        <v>566</v>
      </c>
      <c r="H196" s="28" t="s">
        <v>87</v>
      </c>
      <c r="I196" s="28" t="s">
        <v>280</v>
      </c>
      <c r="J196" s="28" t="s">
        <v>91</v>
      </c>
      <c r="K196" s="28" t="s">
        <v>260</v>
      </c>
      <c r="L196" s="28" t="s">
        <v>91</v>
      </c>
      <c r="M196" s="27">
        <v>0</v>
      </c>
      <c r="N196" s="27">
        <v>1</v>
      </c>
      <c r="O196" s="27">
        <v>1</v>
      </c>
      <c r="P196" s="33" t="str">
        <f xml:space="preserve"> IF(co_impactTypes[[#This Row],[econMultiplierName]]="None", "N/A", 2010)</f>
        <v>N/A</v>
      </c>
    </row>
    <row r="197" spans="2:16" x14ac:dyDescent="0.2">
      <c r="B197" s="4">
        <f xml:space="preserve"> ROW( co_impactTypes[[#This Row],[row_id]] ) - ROW(co_impactTypes[[#Headers],[row_id]] )</f>
        <v>46</v>
      </c>
      <c r="C197" s="7" t="s">
        <v>252</v>
      </c>
      <c r="D197" s="28" t="s">
        <v>111</v>
      </c>
      <c r="E197" s="68" t="s">
        <v>111</v>
      </c>
      <c r="F197" s="32" t="s">
        <v>111</v>
      </c>
      <c r="G197" s="28" t="s">
        <v>285</v>
      </c>
      <c r="H197" s="28" t="s">
        <v>87</v>
      </c>
      <c r="I197" s="28" t="s">
        <v>257</v>
      </c>
      <c r="J197" s="28" t="s">
        <v>91</v>
      </c>
      <c r="K197" s="28" t="s">
        <v>129</v>
      </c>
      <c r="L197" s="28" t="s">
        <v>92</v>
      </c>
      <c r="M197" s="27">
        <v>0</v>
      </c>
      <c r="N197" s="27">
        <v>1</v>
      </c>
      <c r="O197" s="27">
        <v>0.4</v>
      </c>
      <c r="P197" s="33">
        <f xml:space="preserve"> IF(co_impactTypes[[#This Row],[econMultiplierName]]="None", "N/A", 2010)</f>
        <v>2010</v>
      </c>
    </row>
    <row r="198" spans="2:16" x14ac:dyDescent="0.2">
      <c r="B198" s="4">
        <f xml:space="preserve"> ROW( co_impactTypes[[#This Row],[row_id]] ) - ROW(co_impactTypes[[#Headers],[row_id]] )</f>
        <v>47</v>
      </c>
      <c r="C198" s="7" t="s">
        <v>430</v>
      </c>
      <c r="D198" s="28" t="s">
        <v>431</v>
      </c>
      <c r="E198" s="47" t="s">
        <v>433</v>
      </c>
      <c r="F198" s="32" t="s">
        <v>431</v>
      </c>
      <c r="G198" s="28" t="s">
        <v>38</v>
      </c>
      <c r="H198" s="28" t="s">
        <v>91</v>
      </c>
      <c r="I198" s="28" t="s">
        <v>91</v>
      </c>
      <c r="J198" s="28" t="s">
        <v>91</v>
      </c>
      <c r="K198" s="28" t="s">
        <v>91</v>
      </c>
      <c r="L198" s="28" t="s">
        <v>91</v>
      </c>
      <c r="M198" s="27">
        <v>0</v>
      </c>
      <c r="N198" s="27">
        <v>1</v>
      </c>
      <c r="O198" s="27">
        <v>1</v>
      </c>
      <c r="P198" s="33" t="str">
        <f xml:space="preserve"> IF(co_impactTypes[[#This Row],[econMultiplierName]]="None", "N/A", 2010)</f>
        <v>N/A</v>
      </c>
    </row>
    <row r="199" spans="2:16" x14ac:dyDescent="0.2">
      <c r="B199" s="4">
        <f xml:space="preserve"> ROW( co_impactTypes[[#This Row],[row_id]] ) - ROW(co_impactTypes[[#Headers],[row_id]] )</f>
        <v>48</v>
      </c>
      <c r="C199" s="7" t="s">
        <v>430</v>
      </c>
      <c r="D199" s="28" t="s">
        <v>432</v>
      </c>
      <c r="E199" s="47" t="s">
        <v>434</v>
      </c>
      <c r="F199" s="32" t="s">
        <v>432</v>
      </c>
      <c r="G199" s="28" t="s">
        <v>565</v>
      </c>
      <c r="H199" s="28" t="s">
        <v>91</v>
      </c>
      <c r="I199" s="28" t="s">
        <v>91</v>
      </c>
      <c r="J199" s="28" t="s">
        <v>91</v>
      </c>
      <c r="K199" s="28" t="s">
        <v>259</v>
      </c>
      <c r="L199" s="28" t="s">
        <v>92</v>
      </c>
      <c r="M199" s="27">
        <v>0</v>
      </c>
      <c r="N199" s="27">
        <v>1</v>
      </c>
      <c r="O199" s="27">
        <v>1</v>
      </c>
      <c r="P199" s="33">
        <f xml:space="preserve"> IF(co_impactTypes[[#This Row],[econMultiplierName]]="None", "N/A", 2010)</f>
        <v>2010</v>
      </c>
    </row>
    <row r="200" spans="2:16" x14ac:dyDescent="0.2">
      <c r="B200" s="4">
        <f xml:space="preserve"> ROW( co_impactTypes[[#This Row],[row_id]] ) - ROW(co_impactTypes[[#Headers],[row_id]] )</f>
        <v>49</v>
      </c>
      <c r="C200" s="7" t="s">
        <v>430</v>
      </c>
      <c r="D200" s="28" t="s">
        <v>111</v>
      </c>
      <c r="E200" s="47" t="s">
        <v>111</v>
      </c>
      <c r="F200" s="32" t="s">
        <v>111</v>
      </c>
      <c r="G200" s="28" t="s">
        <v>285</v>
      </c>
      <c r="H200" s="28" t="s">
        <v>91</v>
      </c>
      <c r="I200" s="28" t="s">
        <v>91</v>
      </c>
      <c r="J200" s="28" t="s">
        <v>91</v>
      </c>
      <c r="K200" s="28" t="s">
        <v>129</v>
      </c>
      <c r="L200" s="28" t="s">
        <v>92</v>
      </c>
      <c r="M200" s="27">
        <v>0</v>
      </c>
      <c r="N200" s="27">
        <v>1</v>
      </c>
      <c r="O200" s="27">
        <v>0.4</v>
      </c>
      <c r="P200" s="33">
        <f xml:space="preserve"> IF(co_impactTypes[[#This Row],[econMultiplierName]]="None", "N/A", 2010)</f>
        <v>2010</v>
      </c>
    </row>
    <row r="201" spans="2:16" x14ac:dyDescent="0.2">
      <c r="B201" s="4">
        <f xml:space="preserve"> ROW( co_impactTypes[[#This Row],[row_id]] ) - ROW(co_impactTypes[[#Headers],[row_id]] )</f>
        <v>50</v>
      </c>
      <c r="C201" s="7" t="s">
        <v>63</v>
      </c>
      <c r="D201" s="28" t="s">
        <v>38</v>
      </c>
      <c r="E201" s="47" t="s">
        <v>207</v>
      </c>
      <c r="F201" s="32" t="s">
        <v>148</v>
      </c>
      <c r="G201" s="28" t="s">
        <v>38</v>
      </c>
      <c r="H201" s="28" t="s">
        <v>87</v>
      </c>
      <c r="I201" s="28" t="s">
        <v>91</v>
      </c>
      <c r="J201" s="28" t="s">
        <v>91</v>
      </c>
      <c r="K201" s="28" t="s">
        <v>91</v>
      </c>
      <c r="L201" s="28" t="s">
        <v>91</v>
      </c>
      <c r="M201" s="27">
        <v>0</v>
      </c>
      <c r="N201" s="27">
        <v>1</v>
      </c>
      <c r="O201" s="27">
        <v>1</v>
      </c>
      <c r="P201" s="33" t="str">
        <f xml:space="preserve"> IF(co_impactTypes[[#This Row],[econMultiplierName]]="None", "N/A", 2010)</f>
        <v>N/A</v>
      </c>
    </row>
    <row r="202" spans="2:16" x14ac:dyDescent="0.2">
      <c r="B202" s="4">
        <f xml:space="preserve"> ROW( co_impactTypes[[#This Row],[row_id]] ) - ROW(co_impactTypes[[#Headers],[row_id]] )</f>
        <v>51</v>
      </c>
      <c r="C202" s="7" t="s">
        <v>105</v>
      </c>
      <c r="D202" s="28" t="s">
        <v>112</v>
      </c>
      <c r="E202" s="47" t="s">
        <v>112</v>
      </c>
      <c r="F202" s="32" t="s">
        <v>112</v>
      </c>
      <c r="G202" s="28" t="s">
        <v>566</v>
      </c>
      <c r="H202" s="28" t="s">
        <v>87</v>
      </c>
      <c r="I202" s="28" t="s">
        <v>91</v>
      </c>
      <c r="J202" s="28" t="s">
        <v>91</v>
      </c>
      <c r="K202" s="28" t="s">
        <v>91</v>
      </c>
      <c r="L202" s="28" t="s">
        <v>91</v>
      </c>
      <c r="M202" s="27">
        <v>0</v>
      </c>
      <c r="N202" s="27">
        <v>1</v>
      </c>
      <c r="O202" s="27">
        <v>1</v>
      </c>
      <c r="P202" s="33" t="str">
        <f xml:space="preserve"> IF(co_impactTypes[[#This Row],[econMultiplierName]]="None", "N/A", 2010)</f>
        <v>N/A</v>
      </c>
    </row>
    <row r="203" spans="2:16" x14ac:dyDescent="0.2">
      <c r="B203" s="4">
        <f xml:space="preserve"> ROW( co_impactTypes[[#This Row],[row_id]] ) - ROW(co_impactTypes[[#Headers],[row_id]] )</f>
        <v>52</v>
      </c>
      <c r="C203" s="7" t="s">
        <v>105</v>
      </c>
      <c r="D203" s="28" t="s">
        <v>111</v>
      </c>
      <c r="E203" s="47" t="s">
        <v>111</v>
      </c>
      <c r="F203" s="32" t="s">
        <v>111</v>
      </c>
      <c r="G203" s="28" t="s">
        <v>285</v>
      </c>
      <c r="H203" s="28" t="s">
        <v>87</v>
      </c>
      <c r="I203" s="28" t="s">
        <v>91</v>
      </c>
      <c r="J203" s="28" t="s">
        <v>91</v>
      </c>
      <c r="K203" s="28" t="s">
        <v>129</v>
      </c>
      <c r="L203" s="28" t="s">
        <v>92</v>
      </c>
      <c r="M203" s="27">
        <v>0</v>
      </c>
      <c r="N203" s="27">
        <v>1</v>
      </c>
      <c r="O203" s="27">
        <v>0.4</v>
      </c>
      <c r="P203" s="33">
        <f xml:space="preserve"> IF(co_impactTypes[[#This Row],[econMultiplierName]]="None", "N/A", 2010)</f>
        <v>2010</v>
      </c>
    </row>
    <row r="204" spans="2:16" x14ac:dyDescent="0.2">
      <c r="B204" s="4">
        <f xml:space="preserve"> ROW( co_impactTypes[[#This Row],[row_id]] ) - ROW(co_impactTypes[[#Headers],[row_id]] )</f>
        <v>53</v>
      </c>
      <c r="C204" s="7" t="s">
        <v>105</v>
      </c>
      <c r="D204" s="28" t="s">
        <v>144</v>
      </c>
      <c r="E204" s="47" t="s">
        <v>115</v>
      </c>
      <c r="F204" s="32" t="s">
        <v>144</v>
      </c>
      <c r="G204" s="28" t="s">
        <v>286</v>
      </c>
      <c r="H204" s="28" t="s">
        <v>91</v>
      </c>
      <c r="I204" s="28" t="s">
        <v>91</v>
      </c>
      <c r="J204" s="28" t="s">
        <v>91</v>
      </c>
      <c r="K204" s="28" t="s">
        <v>114</v>
      </c>
      <c r="L204" s="28" t="s">
        <v>91</v>
      </c>
      <c r="M204" s="27">
        <v>0</v>
      </c>
      <c r="N204" s="27">
        <v>1</v>
      </c>
      <c r="O204" s="27">
        <v>1</v>
      </c>
      <c r="P204" s="33" t="str">
        <f xml:space="preserve"> IF(co_impactTypes[[#This Row],[econMultiplierName]]="None", "N/A", 2010)</f>
        <v>N/A</v>
      </c>
    </row>
    <row r="205" spans="2:16" x14ac:dyDescent="0.2">
      <c r="B205" s="4">
        <f xml:space="preserve"> ROW( co_impactTypes[[#This Row],[row_id]] ) - ROW(co_impactTypes[[#Headers],[row_id]] )</f>
        <v>54</v>
      </c>
      <c r="C205" s="7" t="s">
        <v>340</v>
      </c>
      <c r="D205" s="28" t="s">
        <v>38</v>
      </c>
      <c r="E205" s="47" t="s">
        <v>207</v>
      </c>
      <c r="F205" s="32" t="s">
        <v>343</v>
      </c>
      <c r="G205" s="28" t="s">
        <v>38</v>
      </c>
      <c r="H205" s="28" t="s">
        <v>91</v>
      </c>
      <c r="I205" s="28" t="s">
        <v>91</v>
      </c>
      <c r="J205" s="28" t="s">
        <v>91</v>
      </c>
      <c r="K205" s="28" t="s">
        <v>91</v>
      </c>
      <c r="L205" s="28" t="s">
        <v>91</v>
      </c>
      <c r="M205" s="27">
        <v>0</v>
      </c>
      <c r="N205" s="27">
        <v>1</v>
      </c>
      <c r="O205" s="27">
        <v>1</v>
      </c>
      <c r="P205" s="33" t="str">
        <f xml:space="preserve"> IF(co_impactTypes[[#This Row],[econMultiplierName]]="None", "N/A", 2010)</f>
        <v>N/A</v>
      </c>
    </row>
    <row r="206" spans="2:16" ht="22.5" x14ac:dyDescent="0.2">
      <c r="B206" s="4">
        <f xml:space="preserve"> ROW( co_impactTypes[[#This Row],[row_id]] ) - ROW(co_impactTypes[[#Headers],[row_id]] )</f>
        <v>55</v>
      </c>
      <c r="C206" s="7" t="s">
        <v>24</v>
      </c>
      <c r="D206" s="28" t="s">
        <v>43</v>
      </c>
      <c r="E206" s="47" t="s">
        <v>25</v>
      </c>
      <c r="F206" s="32" t="s">
        <v>266</v>
      </c>
      <c r="G206" s="28" t="s">
        <v>38</v>
      </c>
      <c r="H206" s="28" t="s">
        <v>87</v>
      </c>
      <c r="I206" s="28" t="s">
        <v>91</v>
      </c>
      <c r="J206" s="28" t="s">
        <v>91</v>
      </c>
      <c r="K206" s="28" t="s">
        <v>91</v>
      </c>
      <c r="L206" s="28" t="s">
        <v>91</v>
      </c>
      <c r="M206" s="27">
        <v>0</v>
      </c>
      <c r="N206" s="27">
        <v>1</v>
      </c>
      <c r="O206" s="27">
        <v>1</v>
      </c>
      <c r="P206" s="33" t="str">
        <f xml:space="preserve"> IF(co_impactTypes[[#This Row],[econMultiplierName]]="None", "N/A", 2010)</f>
        <v>N/A</v>
      </c>
    </row>
    <row r="207" spans="2:16" ht="22.5" x14ac:dyDescent="0.2">
      <c r="B207" s="4">
        <f xml:space="preserve"> ROW( co_impactTypes[[#This Row],[row_id]] ) - ROW(co_impactTypes[[#Headers],[row_id]] )</f>
        <v>56</v>
      </c>
      <c r="C207" s="7" t="s">
        <v>24</v>
      </c>
      <c r="D207" s="28" t="s">
        <v>44</v>
      </c>
      <c r="E207" s="47" t="s">
        <v>26</v>
      </c>
      <c r="F207" s="32" t="s">
        <v>267</v>
      </c>
      <c r="G207" s="28" t="s">
        <v>38</v>
      </c>
      <c r="H207" s="28" t="s">
        <v>87</v>
      </c>
      <c r="I207" s="28" t="s">
        <v>91</v>
      </c>
      <c r="J207" s="28" t="s">
        <v>91</v>
      </c>
      <c r="K207" s="28" t="s">
        <v>91</v>
      </c>
      <c r="L207" s="28" t="s">
        <v>91</v>
      </c>
      <c r="M207" s="27">
        <v>0</v>
      </c>
      <c r="N207" s="27">
        <v>1</v>
      </c>
      <c r="O207" s="27">
        <v>1</v>
      </c>
      <c r="P207" s="33" t="str">
        <f xml:space="preserve"> IF(co_impactTypes[[#This Row],[econMultiplierName]]="None", "N/A", 2010)</f>
        <v>N/A</v>
      </c>
    </row>
    <row r="208" spans="2:16" ht="22.5" x14ac:dyDescent="0.2">
      <c r="B208" s="4">
        <f xml:space="preserve"> ROW( co_impactTypes[[#This Row],[row_id]] ) - ROW(co_impactTypes[[#Headers],[row_id]] )</f>
        <v>57</v>
      </c>
      <c r="C208" s="7" t="s">
        <v>24</v>
      </c>
      <c r="D208" s="28" t="s">
        <v>27</v>
      </c>
      <c r="E208" s="47" t="s">
        <v>27</v>
      </c>
      <c r="F208" s="32" t="s">
        <v>268</v>
      </c>
      <c r="G208" s="28" t="s">
        <v>38</v>
      </c>
      <c r="H208" s="28" t="s">
        <v>87</v>
      </c>
      <c r="I208" s="28" t="s">
        <v>91</v>
      </c>
      <c r="J208" s="28" t="s">
        <v>91</v>
      </c>
      <c r="K208" s="28" t="s">
        <v>91</v>
      </c>
      <c r="L208" s="28" t="s">
        <v>91</v>
      </c>
      <c r="M208" s="27">
        <v>0</v>
      </c>
      <c r="N208" s="27">
        <v>1</v>
      </c>
      <c r="O208" s="27">
        <v>1</v>
      </c>
      <c r="P208" s="33" t="str">
        <f xml:space="preserve"> IF(co_impactTypes[[#This Row],[econMultiplierName]]="None", "N/A", 2010)</f>
        <v>N/A</v>
      </c>
    </row>
    <row r="211" spans="1:21" ht="15" x14ac:dyDescent="0.25">
      <c r="A211" s="16"/>
      <c r="B211" s="17" t="s">
        <v>352</v>
      </c>
      <c r="C211" s="17"/>
      <c r="D211" s="17"/>
      <c r="E211" s="17"/>
      <c r="F211" s="17"/>
      <c r="G211" s="17"/>
      <c r="H211" s="17"/>
      <c r="I211" s="17"/>
      <c r="J211" s="17"/>
      <c r="K211" s="17"/>
      <c r="L211" s="17"/>
      <c r="M211" s="17"/>
      <c r="N211" s="17"/>
      <c r="O211" s="17"/>
      <c r="P211" s="17"/>
      <c r="Q211" s="17"/>
      <c r="R211" s="17"/>
      <c r="S211" s="17"/>
      <c r="T211" s="17"/>
      <c r="U211" s="17"/>
    </row>
    <row r="213" spans="1:21" ht="15" x14ac:dyDescent="0.25">
      <c r="B213" s="29" t="s">
        <v>123</v>
      </c>
      <c r="C213" s="29" t="s">
        <v>89</v>
      </c>
      <c r="D213" s="29" t="s">
        <v>88</v>
      </c>
      <c r="E213" s="31" t="s">
        <v>155</v>
      </c>
      <c r="F213" s="31" t="s">
        <v>180</v>
      </c>
      <c r="G213" s="31" t="s">
        <v>181</v>
      </c>
      <c r="H213" s="31" t="s">
        <v>159</v>
      </c>
      <c r="I213" s="31" t="s">
        <v>190</v>
      </c>
      <c r="J213" s="29" t="s">
        <v>172</v>
      </c>
      <c r="Q213" s="5"/>
      <c r="R213" s="5"/>
      <c r="S213" s="5"/>
    </row>
    <row r="214" spans="1:21" ht="22.5" x14ac:dyDescent="0.25">
      <c r="B214" s="6">
        <f xml:space="preserve"> ROW( co_scalarInfo[[#This Row],[row_id]] ) - ROW( co_scalarInfo[[#Headers],[row_id]] )</f>
        <v>1</v>
      </c>
      <c r="C214" s="26" t="s">
        <v>95</v>
      </c>
      <c r="D214" s="26" t="s">
        <v>94</v>
      </c>
      <c r="E214" s="80" t="s">
        <v>157</v>
      </c>
      <c r="F214" s="80" t="s">
        <v>184</v>
      </c>
      <c r="G214" s="80" t="s">
        <v>183</v>
      </c>
      <c r="H214" s="80">
        <v>2015</v>
      </c>
      <c r="I214" s="48" t="s">
        <v>191</v>
      </c>
      <c r="J214" s="65"/>
      <c r="Q214"/>
      <c r="R214"/>
      <c r="S214"/>
    </row>
    <row r="215" spans="1:21" ht="33.75" x14ac:dyDescent="0.25">
      <c r="B215" s="6">
        <f xml:space="preserve"> ROW( co_scalarInfo[[#This Row],[row_id]] ) - ROW( co_scalarInfo[[#Headers],[row_id]] )</f>
        <v>2</v>
      </c>
      <c r="C215" s="32" t="s">
        <v>272</v>
      </c>
      <c r="D215" s="26" t="s">
        <v>140</v>
      </c>
      <c r="E215" s="80" t="s">
        <v>157</v>
      </c>
      <c r="F215" s="80" t="s">
        <v>184</v>
      </c>
      <c r="G215" s="80" t="s">
        <v>183</v>
      </c>
      <c r="H215" s="81" t="s">
        <v>225</v>
      </c>
      <c r="I215" s="48" t="s">
        <v>191</v>
      </c>
      <c r="J215" s="65"/>
      <c r="Q215"/>
      <c r="R215"/>
      <c r="S215"/>
    </row>
    <row r="216" spans="1:21" ht="15" x14ac:dyDescent="0.25">
      <c r="B216" s="6">
        <f xml:space="preserve"> ROW( co_scalarInfo[[#This Row],[row_id]] ) - ROW( co_scalarInfo[[#Headers],[row_id]] )</f>
        <v>3</v>
      </c>
      <c r="C216" s="32" t="s">
        <v>669</v>
      </c>
      <c r="D216" s="26" t="s">
        <v>671</v>
      </c>
      <c r="E216" s="80" t="s">
        <v>157</v>
      </c>
      <c r="F216" s="80" t="s">
        <v>184</v>
      </c>
      <c r="G216" s="80" t="s">
        <v>183</v>
      </c>
      <c r="H216" s="81" t="s">
        <v>225</v>
      </c>
      <c r="I216" s="48" t="s">
        <v>191</v>
      </c>
      <c r="J216" s="65"/>
      <c r="Q216"/>
      <c r="R216"/>
      <c r="S216"/>
    </row>
    <row r="217" spans="1:21" ht="15" x14ac:dyDescent="0.25">
      <c r="B217" s="6">
        <f xml:space="preserve"> ROW( co_scalarInfo[[#This Row],[row_id]] ) - ROW( co_scalarInfo[[#Headers],[row_id]] )</f>
        <v>4</v>
      </c>
      <c r="C217" s="32" t="s">
        <v>670</v>
      </c>
      <c r="D217" s="26" t="s">
        <v>672</v>
      </c>
      <c r="E217" s="80" t="s">
        <v>157</v>
      </c>
      <c r="F217" s="80" t="s">
        <v>184</v>
      </c>
      <c r="G217" s="80" t="s">
        <v>183</v>
      </c>
      <c r="H217" s="81" t="s">
        <v>225</v>
      </c>
      <c r="I217" s="48" t="s">
        <v>191</v>
      </c>
      <c r="J217" s="65"/>
      <c r="Q217"/>
      <c r="R217"/>
      <c r="S217"/>
    </row>
    <row r="218" spans="1:21" ht="15" x14ac:dyDescent="0.25">
      <c r="B218" s="6">
        <f xml:space="preserve"> ROW( co_scalarInfo[[#This Row],[row_id]] ) - ROW( co_scalarInfo[[#Headers],[row_id]] )</f>
        <v>5</v>
      </c>
      <c r="C218" s="32" t="s">
        <v>91</v>
      </c>
      <c r="D218" s="26" t="s">
        <v>196</v>
      </c>
      <c r="E218" s="80" t="s">
        <v>157</v>
      </c>
      <c r="F218" s="80" t="s">
        <v>128</v>
      </c>
      <c r="G218" s="80" t="s">
        <v>182</v>
      </c>
      <c r="H218" s="80" t="s">
        <v>38</v>
      </c>
      <c r="I218" s="48" t="s">
        <v>193</v>
      </c>
      <c r="J218" s="65" t="s">
        <v>197</v>
      </c>
      <c r="Q218"/>
      <c r="R218"/>
      <c r="S218"/>
    </row>
    <row r="219" spans="1:21" ht="15" x14ac:dyDescent="0.25">
      <c r="B219" s="6">
        <f xml:space="preserve"> ROW( co_scalarInfo[[#This Row],[row_id]] ) - ROW( co_scalarInfo[[#Headers],[row_id]] )</f>
        <v>6</v>
      </c>
      <c r="C219" s="32" t="s">
        <v>124</v>
      </c>
      <c r="D219" s="26" t="s">
        <v>141</v>
      </c>
      <c r="E219" s="80" t="s">
        <v>157</v>
      </c>
      <c r="F219" s="80" t="s">
        <v>184</v>
      </c>
      <c r="G219" s="80" t="s">
        <v>182</v>
      </c>
      <c r="H219" s="81" t="s">
        <v>225</v>
      </c>
      <c r="I219" s="48" t="s">
        <v>191</v>
      </c>
      <c r="J219" s="65"/>
      <c r="Q219"/>
      <c r="R219"/>
      <c r="S219"/>
    </row>
    <row r="220" spans="1:21" ht="33.75" x14ac:dyDescent="0.25">
      <c r="B220" s="6">
        <f xml:space="preserve"> ROW( co_scalarInfo[[#This Row],[row_id]] ) - ROW( co_scalarInfo[[#Headers],[row_id]] )</f>
        <v>7</v>
      </c>
      <c r="C220" s="32" t="s">
        <v>567</v>
      </c>
      <c r="D220" s="26" t="s">
        <v>568</v>
      </c>
      <c r="E220" s="80" t="s">
        <v>157</v>
      </c>
      <c r="F220" s="80" t="s">
        <v>184</v>
      </c>
      <c r="G220" s="80" t="s">
        <v>183</v>
      </c>
      <c r="H220" s="81" t="s">
        <v>225</v>
      </c>
      <c r="I220" s="48" t="s">
        <v>191</v>
      </c>
      <c r="J220" s="65" t="s">
        <v>593</v>
      </c>
      <c r="Q220"/>
      <c r="R220"/>
      <c r="S220"/>
    </row>
    <row r="221" spans="1:21" ht="33.75" x14ac:dyDescent="0.25">
      <c r="B221" s="6">
        <f xml:space="preserve"> ROW( co_scalarInfo[[#This Row],[row_id]] ) - ROW( co_scalarInfo[[#Headers],[row_id]] )</f>
        <v>8</v>
      </c>
      <c r="C221" s="32" t="s">
        <v>569</v>
      </c>
      <c r="D221" s="26" t="s">
        <v>570</v>
      </c>
      <c r="E221" s="80" t="s">
        <v>157</v>
      </c>
      <c r="F221" s="80" t="s">
        <v>184</v>
      </c>
      <c r="G221" s="80" t="s">
        <v>183</v>
      </c>
      <c r="H221" s="81" t="s">
        <v>225</v>
      </c>
      <c r="I221" s="48" t="s">
        <v>191</v>
      </c>
      <c r="J221" s="65" t="s">
        <v>594</v>
      </c>
      <c r="Q221"/>
      <c r="R221"/>
      <c r="S221"/>
    </row>
    <row r="222" spans="1:21" ht="33.75" x14ac:dyDescent="0.25">
      <c r="B222" s="6">
        <f xml:space="preserve"> ROW( co_scalarInfo[[#This Row],[row_id]] ) - ROW( co_scalarInfo[[#Headers],[row_id]] )</f>
        <v>9</v>
      </c>
      <c r="C222" s="32" t="s">
        <v>571</v>
      </c>
      <c r="D222" s="26" t="s">
        <v>572</v>
      </c>
      <c r="E222" s="80" t="s">
        <v>157</v>
      </c>
      <c r="F222" s="80" t="s">
        <v>184</v>
      </c>
      <c r="G222" s="80" t="s">
        <v>183</v>
      </c>
      <c r="H222" s="81" t="s">
        <v>225</v>
      </c>
      <c r="I222" s="48" t="s">
        <v>191</v>
      </c>
      <c r="J222" s="65" t="s">
        <v>595</v>
      </c>
      <c r="Q222"/>
      <c r="R222"/>
      <c r="S222"/>
    </row>
    <row r="223" spans="1:21" ht="15" x14ac:dyDescent="0.25">
      <c r="B223" s="6">
        <f xml:space="preserve"> ROW( co_scalarInfo[[#This Row],[row_id]] ) - ROW( co_scalarInfo[[#Headers],[row_id]] )</f>
        <v>10</v>
      </c>
      <c r="C223" s="32" t="s">
        <v>259</v>
      </c>
      <c r="D223" s="26" t="s">
        <v>261</v>
      </c>
      <c r="E223" s="80" t="s">
        <v>156</v>
      </c>
      <c r="F223" s="80" t="s">
        <v>128</v>
      </c>
      <c r="G223" s="80" t="s">
        <v>182</v>
      </c>
      <c r="H223" s="81" t="s">
        <v>225</v>
      </c>
      <c r="I223" s="48" t="s">
        <v>191</v>
      </c>
      <c r="J223" s="65"/>
      <c r="Q223"/>
      <c r="R223"/>
      <c r="S223"/>
    </row>
    <row r="224" spans="1:21" ht="15" x14ac:dyDescent="0.25">
      <c r="B224" s="6">
        <f xml:space="preserve"> ROW( co_scalarInfo[[#This Row],[row_id]] ) - ROW( co_scalarInfo[[#Headers],[row_id]] )</f>
        <v>11</v>
      </c>
      <c r="C224" s="32" t="s">
        <v>653</v>
      </c>
      <c r="D224" s="26" t="s">
        <v>656</v>
      </c>
      <c r="E224" s="80" t="s">
        <v>156</v>
      </c>
      <c r="F224" s="80" t="s">
        <v>128</v>
      </c>
      <c r="G224" s="80" t="s">
        <v>182</v>
      </c>
      <c r="H224" s="81">
        <v>2015</v>
      </c>
      <c r="I224" s="48" t="s">
        <v>191</v>
      </c>
      <c r="J224" s="65"/>
      <c r="Q224"/>
      <c r="R224"/>
      <c r="S224"/>
    </row>
    <row r="225" spans="2:19" ht="15" x14ac:dyDescent="0.25">
      <c r="B225" s="6">
        <f xml:space="preserve"> ROW( co_scalarInfo[[#This Row],[row_id]] ) - ROW( co_scalarInfo[[#Headers],[row_id]] )</f>
        <v>12</v>
      </c>
      <c r="C225" s="32" t="s">
        <v>92</v>
      </c>
      <c r="D225" s="26" t="s">
        <v>674</v>
      </c>
      <c r="E225" s="80" t="s">
        <v>156</v>
      </c>
      <c r="F225" s="80" t="s">
        <v>184</v>
      </c>
      <c r="G225" s="80" t="s">
        <v>182</v>
      </c>
      <c r="H225" s="81"/>
      <c r="I225" s="48" t="s">
        <v>193</v>
      </c>
      <c r="J225" s="65" t="s">
        <v>673</v>
      </c>
      <c r="Q225"/>
      <c r="R225"/>
      <c r="S225"/>
    </row>
    <row r="226" spans="2:19" ht="15" x14ac:dyDescent="0.25">
      <c r="B226" s="6">
        <f xml:space="preserve"> ROW( co_scalarInfo[[#This Row],[row_id]] ) - ROW( co_scalarInfo[[#Headers],[row_id]] )</f>
        <v>13</v>
      </c>
      <c r="C226" s="26" t="s">
        <v>279</v>
      </c>
      <c r="D226" s="26" t="s">
        <v>110</v>
      </c>
      <c r="E226" s="80" t="s">
        <v>156</v>
      </c>
      <c r="F226" s="80" t="s">
        <v>128</v>
      </c>
      <c r="G226" s="80" t="s">
        <v>182</v>
      </c>
      <c r="H226" s="81">
        <v>2010</v>
      </c>
      <c r="I226" s="48" t="s">
        <v>191</v>
      </c>
      <c r="J226" s="65"/>
      <c r="Q226"/>
      <c r="R226"/>
      <c r="S226"/>
    </row>
    <row r="227" spans="2:19" ht="22.5" x14ac:dyDescent="0.25">
      <c r="B227" s="6">
        <f xml:space="preserve"> ROW( co_scalarInfo[[#This Row],[row_id]] ) - ROW( co_scalarInfo[[#Headers],[row_id]] )</f>
        <v>14</v>
      </c>
      <c r="C227" s="32" t="s">
        <v>154</v>
      </c>
      <c r="D227" s="26" t="s">
        <v>134</v>
      </c>
      <c r="E227" s="80" t="s">
        <v>156</v>
      </c>
      <c r="F227" s="80" t="s">
        <v>128</v>
      </c>
      <c r="G227" s="80" t="s">
        <v>182</v>
      </c>
      <c r="H227" s="80">
        <v>2010</v>
      </c>
      <c r="I227" s="48" t="s">
        <v>191</v>
      </c>
      <c r="J227" s="65"/>
      <c r="Q227"/>
      <c r="R227"/>
      <c r="S227"/>
    </row>
    <row r="228" spans="2:19" ht="22.5" x14ac:dyDescent="0.2">
      <c r="B228" s="6">
        <f xml:space="preserve"> ROW( co_scalarInfo[[#This Row],[row_id]] ) - ROW( co_scalarInfo[[#Headers],[row_id]] )</f>
        <v>15</v>
      </c>
      <c r="C228" s="32" t="s">
        <v>131</v>
      </c>
      <c r="D228" s="26" t="s">
        <v>130</v>
      </c>
      <c r="E228" s="80" t="s">
        <v>156</v>
      </c>
      <c r="F228" s="80" t="s">
        <v>128</v>
      </c>
      <c r="G228" s="80" t="s">
        <v>182</v>
      </c>
      <c r="H228" s="80">
        <v>2010</v>
      </c>
      <c r="I228" s="48" t="s">
        <v>191</v>
      </c>
      <c r="J228" s="65"/>
    </row>
    <row r="229" spans="2:19" ht="22.5" x14ac:dyDescent="0.2">
      <c r="B229" s="6">
        <f xml:space="preserve"> ROW( co_scalarInfo[[#This Row],[row_id]] ) - ROW( co_scalarInfo[[#Headers],[row_id]] )</f>
        <v>16</v>
      </c>
      <c r="C229" s="32" t="s">
        <v>132</v>
      </c>
      <c r="D229" s="26" t="s">
        <v>133</v>
      </c>
      <c r="E229" s="80" t="s">
        <v>156</v>
      </c>
      <c r="F229" s="80" t="s">
        <v>128</v>
      </c>
      <c r="G229" s="80" t="s">
        <v>182</v>
      </c>
      <c r="H229" s="80">
        <v>2010</v>
      </c>
      <c r="I229" s="48" t="s">
        <v>191</v>
      </c>
      <c r="J229" s="65"/>
    </row>
    <row r="230" spans="2:19" ht="22.5" x14ac:dyDescent="0.2">
      <c r="B230" s="6">
        <f xml:space="preserve"> ROW( co_scalarInfo[[#This Row],[row_id]] ) - ROW( co_scalarInfo[[#Headers],[row_id]] )</f>
        <v>17</v>
      </c>
      <c r="C230" s="32" t="s">
        <v>632</v>
      </c>
      <c r="D230" s="26" t="s">
        <v>633</v>
      </c>
      <c r="E230" s="80" t="s">
        <v>156</v>
      </c>
      <c r="F230" s="80" t="s">
        <v>128</v>
      </c>
      <c r="G230" s="80" t="s">
        <v>182</v>
      </c>
      <c r="H230" s="80">
        <v>2015</v>
      </c>
      <c r="I230" s="48" t="s">
        <v>191</v>
      </c>
      <c r="J230" s="65"/>
    </row>
    <row r="231" spans="2:19" x14ac:dyDescent="0.2">
      <c r="B231" s="6">
        <f xml:space="preserve"> ROW( co_scalarInfo[[#This Row],[row_id]] ) - ROW( co_scalarInfo[[#Headers],[row_id]] )</f>
        <v>18</v>
      </c>
      <c r="C231" s="32" t="s">
        <v>91</v>
      </c>
      <c r="D231" s="26" t="s">
        <v>196</v>
      </c>
      <c r="E231" s="80" t="s">
        <v>156</v>
      </c>
      <c r="F231" s="80" t="s">
        <v>128</v>
      </c>
      <c r="G231" s="80" t="s">
        <v>182</v>
      </c>
      <c r="H231" s="80" t="s">
        <v>38</v>
      </c>
      <c r="I231" s="48" t="s">
        <v>193</v>
      </c>
      <c r="J231" s="65" t="s">
        <v>197</v>
      </c>
    </row>
    <row r="232" spans="2:19" x14ac:dyDescent="0.2">
      <c r="B232" s="6">
        <f xml:space="preserve"> ROW( co_scalarInfo[[#This Row],[row_id]] ) - ROW( co_scalarInfo[[#Headers],[row_id]] )</f>
        <v>19</v>
      </c>
      <c r="C232" s="32" t="s">
        <v>367</v>
      </c>
      <c r="D232" s="26" t="s">
        <v>368</v>
      </c>
      <c r="E232" s="80" t="s">
        <v>156</v>
      </c>
      <c r="F232" s="80" t="s">
        <v>128</v>
      </c>
      <c r="G232" s="80" t="s">
        <v>183</v>
      </c>
      <c r="H232" s="81">
        <v>2015</v>
      </c>
      <c r="I232" s="48"/>
      <c r="J232" s="65"/>
    </row>
    <row r="233" spans="2:19" x14ac:dyDescent="0.2">
      <c r="B233" s="6">
        <f xml:space="preserve"> ROW( co_scalarInfo[[#This Row],[row_id]] ) - ROW( co_scalarInfo[[#Headers],[row_id]] )</f>
        <v>20</v>
      </c>
      <c r="C233" s="32" t="s">
        <v>654</v>
      </c>
      <c r="D233" s="26" t="s">
        <v>657</v>
      </c>
      <c r="E233" s="80" t="s">
        <v>156</v>
      </c>
      <c r="F233" s="80" t="s">
        <v>128</v>
      </c>
      <c r="G233" s="80" t="s">
        <v>182</v>
      </c>
      <c r="H233" s="81">
        <v>2015</v>
      </c>
      <c r="I233" s="48" t="s">
        <v>191</v>
      </c>
      <c r="J233" s="65"/>
    </row>
    <row r="234" spans="2:19" ht="22.5" x14ac:dyDescent="0.2">
      <c r="B234" s="6">
        <f xml:space="preserve"> ROW( co_scalarInfo[[#This Row],[row_id]] ) - ROW( co_scalarInfo[[#Headers],[row_id]] )</f>
        <v>21</v>
      </c>
      <c r="C234" s="32" t="s">
        <v>260</v>
      </c>
      <c r="D234" s="26" t="s">
        <v>262</v>
      </c>
      <c r="E234" s="80" t="s">
        <v>156</v>
      </c>
      <c r="F234" s="80" t="s">
        <v>128</v>
      </c>
      <c r="G234" s="80" t="s">
        <v>182</v>
      </c>
      <c r="H234" s="81" t="s">
        <v>225</v>
      </c>
      <c r="I234" s="48" t="s">
        <v>191</v>
      </c>
      <c r="J234" s="65"/>
    </row>
    <row r="235" spans="2:19" x14ac:dyDescent="0.2">
      <c r="B235" s="6">
        <f xml:space="preserve"> ROW( co_scalarInfo[[#This Row],[row_id]] ) - ROW( co_scalarInfo[[#Headers],[row_id]] )</f>
        <v>22</v>
      </c>
      <c r="C235" s="32" t="s">
        <v>369</v>
      </c>
      <c r="D235" s="26" t="s">
        <v>370</v>
      </c>
      <c r="E235" s="80" t="s">
        <v>156</v>
      </c>
      <c r="F235" s="80" t="s">
        <v>128</v>
      </c>
      <c r="G235" s="80" t="s">
        <v>183</v>
      </c>
      <c r="H235" s="81">
        <v>2015</v>
      </c>
      <c r="I235" s="48"/>
      <c r="J235" s="65"/>
    </row>
    <row r="236" spans="2:19" x14ac:dyDescent="0.2">
      <c r="B236" s="6">
        <f xml:space="preserve"> ROW( co_scalarInfo[[#This Row],[row_id]] ) - ROW( co_scalarInfo[[#Headers],[row_id]] )</f>
        <v>23</v>
      </c>
      <c r="C236" s="26" t="s">
        <v>129</v>
      </c>
      <c r="D236" s="26" t="s">
        <v>16</v>
      </c>
      <c r="E236" s="80" t="s">
        <v>156</v>
      </c>
      <c r="F236" s="80" t="s">
        <v>128</v>
      </c>
      <c r="G236" s="80" t="s">
        <v>182</v>
      </c>
      <c r="H236" s="80">
        <v>2010</v>
      </c>
      <c r="I236" s="48" t="s">
        <v>191</v>
      </c>
      <c r="J236" s="65"/>
    </row>
    <row r="237" spans="2:19" x14ac:dyDescent="0.2">
      <c r="B237" s="6">
        <f xml:space="preserve"> ROW( co_scalarInfo[[#This Row],[row_id]] ) - ROW( co_scalarInfo[[#Headers],[row_id]] )</f>
        <v>24</v>
      </c>
      <c r="C237" s="32" t="s">
        <v>655</v>
      </c>
      <c r="D237" s="26" t="s">
        <v>658</v>
      </c>
      <c r="E237" s="80" t="s">
        <v>156</v>
      </c>
      <c r="F237" s="80" t="s">
        <v>128</v>
      </c>
      <c r="G237" s="80" t="s">
        <v>182</v>
      </c>
      <c r="H237" s="80">
        <v>2015</v>
      </c>
      <c r="I237" s="48" t="s">
        <v>191</v>
      </c>
      <c r="J237" s="65"/>
    </row>
    <row r="238" spans="2:19" x14ac:dyDescent="0.2">
      <c r="B238" s="6">
        <f xml:space="preserve"> ROW( co_scalarInfo[[#This Row],[row_id]] ) - ROW( co_scalarInfo[[#Headers],[row_id]] )</f>
        <v>25</v>
      </c>
      <c r="C238" s="32" t="s">
        <v>114</v>
      </c>
      <c r="D238" s="26" t="s">
        <v>113</v>
      </c>
      <c r="E238" s="80" t="s">
        <v>156</v>
      </c>
      <c r="F238" s="80" t="s">
        <v>128</v>
      </c>
      <c r="G238" s="80" t="s">
        <v>183</v>
      </c>
      <c r="H238" s="81">
        <v>2010</v>
      </c>
      <c r="I238" s="48" t="s">
        <v>191</v>
      </c>
      <c r="J238" s="65"/>
    </row>
    <row r="239" spans="2:19" x14ac:dyDescent="0.2">
      <c r="B239" s="6">
        <f xml:space="preserve"> ROW( co_scalarInfo[[#This Row],[row_id]] ) - ROW( co_scalarInfo[[#Headers],[row_id]] )</f>
        <v>26</v>
      </c>
      <c r="C239" s="32" t="s">
        <v>93</v>
      </c>
      <c r="D239" s="26" t="s">
        <v>136</v>
      </c>
      <c r="E239" s="80" t="s">
        <v>173</v>
      </c>
      <c r="F239" s="80" t="s">
        <v>184</v>
      </c>
      <c r="G239" s="80" t="s">
        <v>183</v>
      </c>
      <c r="H239" s="81" t="s">
        <v>225</v>
      </c>
      <c r="I239" s="48" t="s">
        <v>191</v>
      </c>
      <c r="J239" s="65"/>
    </row>
    <row r="240" spans="2:19" x14ac:dyDescent="0.2">
      <c r="B240" s="6">
        <f xml:space="preserve"> ROW( co_scalarInfo[[#This Row],[row_id]] ) - ROW( co_scalarInfo[[#Headers],[row_id]] )</f>
        <v>27</v>
      </c>
      <c r="C240" s="32" t="s">
        <v>91</v>
      </c>
      <c r="D240" s="26" t="s">
        <v>196</v>
      </c>
      <c r="E240" s="80" t="s">
        <v>173</v>
      </c>
      <c r="F240" s="80" t="s">
        <v>128</v>
      </c>
      <c r="G240" s="80" t="s">
        <v>182</v>
      </c>
      <c r="H240" s="80" t="s">
        <v>38</v>
      </c>
      <c r="I240" s="48" t="s">
        <v>193</v>
      </c>
      <c r="J240" s="65" t="s">
        <v>197</v>
      </c>
    </row>
    <row r="241" spans="2:10" ht="22.5" x14ac:dyDescent="0.2">
      <c r="B241" s="6">
        <f xml:space="preserve"> ROW( co_scalarInfo[[#This Row],[row_id]] ) - ROW( co_scalarInfo[[#Headers],[row_id]] )</f>
        <v>28</v>
      </c>
      <c r="C241" s="32" t="s">
        <v>280</v>
      </c>
      <c r="D241" s="26" t="s">
        <v>255</v>
      </c>
      <c r="E241" s="80" t="s">
        <v>173</v>
      </c>
      <c r="F241" s="80" t="s">
        <v>128</v>
      </c>
      <c r="G241" s="80" t="s">
        <v>182</v>
      </c>
      <c r="H241" s="81" t="s">
        <v>225</v>
      </c>
      <c r="I241" s="48" t="s">
        <v>191</v>
      </c>
      <c r="J241" s="65"/>
    </row>
    <row r="242" spans="2:10" ht="22.5" x14ac:dyDescent="0.2">
      <c r="B242" s="6">
        <f xml:space="preserve"> ROW( co_scalarInfo[[#This Row],[row_id]] ) - ROW( co_scalarInfo[[#Headers],[row_id]] )</f>
        <v>29</v>
      </c>
      <c r="C242" s="32" t="s">
        <v>257</v>
      </c>
      <c r="D242" s="26" t="s">
        <v>254</v>
      </c>
      <c r="E242" s="80" t="s">
        <v>173</v>
      </c>
      <c r="F242" s="80" t="s">
        <v>128</v>
      </c>
      <c r="G242" s="80" t="s">
        <v>182</v>
      </c>
      <c r="H242" s="81" t="s">
        <v>225</v>
      </c>
      <c r="I242" s="48" t="s">
        <v>191</v>
      </c>
      <c r="J242" s="65"/>
    </row>
    <row r="243" spans="2:10" ht="22.5" x14ac:dyDescent="0.2">
      <c r="B243" s="6">
        <f xml:space="preserve"> ROW( co_scalarInfo[[#This Row],[row_id]] ) - ROW( co_scalarInfo[[#Headers],[row_id]] )</f>
        <v>30</v>
      </c>
      <c r="C243" s="32" t="s">
        <v>258</v>
      </c>
      <c r="D243" s="26" t="s">
        <v>256</v>
      </c>
      <c r="E243" s="80" t="s">
        <v>173</v>
      </c>
      <c r="F243" s="80" t="s">
        <v>128</v>
      </c>
      <c r="G243" s="80" t="s">
        <v>182</v>
      </c>
      <c r="H243" s="81" t="s">
        <v>225</v>
      </c>
      <c r="I243" s="48" t="s">
        <v>191</v>
      </c>
      <c r="J243" s="65"/>
    </row>
    <row r="244" spans="2:10" x14ac:dyDescent="0.2">
      <c r="B244" s="6">
        <f xml:space="preserve"> ROW( co_scalarInfo[[#This Row],[row_id]] ) - ROW( co_scalarInfo[[#Headers],[row_id]] )</f>
        <v>31</v>
      </c>
      <c r="C244" s="32" t="s">
        <v>278</v>
      </c>
      <c r="D244" s="26" t="s">
        <v>277</v>
      </c>
      <c r="E244" s="80" t="s">
        <v>158</v>
      </c>
      <c r="F244" s="80" t="s">
        <v>184</v>
      </c>
      <c r="G244" s="80" t="s">
        <v>183</v>
      </c>
      <c r="H244" s="81" t="s">
        <v>225</v>
      </c>
      <c r="I244" s="48" t="s">
        <v>191</v>
      </c>
      <c r="J244" s="65"/>
    </row>
    <row r="245" spans="2:10" x14ac:dyDescent="0.2">
      <c r="B245" s="6">
        <f xml:space="preserve"> ROW( co_scalarInfo[[#This Row],[row_id]] ) - ROW( co_scalarInfo[[#Headers],[row_id]] )</f>
        <v>32</v>
      </c>
      <c r="C245" s="32" t="s">
        <v>103</v>
      </c>
      <c r="D245" s="26" t="s">
        <v>102</v>
      </c>
      <c r="E245" s="80" t="s">
        <v>158</v>
      </c>
      <c r="F245" s="80" t="s">
        <v>184</v>
      </c>
      <c r="G245" s="80" t="s">
        <v>183</v>
      </c>
      <c r="H245" s="81" t="s">
        <v>225</v>
      </c>
      <c r="I245" s="48" t="s">
        <v>191</v>
      </c>
      <c r="J245" s="65"/>
    </row>
    <row r="246" spans="2:10" x14ac:dyDescent="0.2">
      <c r="B246" s="6">
        <f xml:space="preserve"> ROW( co_scalarInfo[[#This Row],[row_id]] ) - ROW( co_scalarInfo[[#Headers],[row_id]] )</f>
        <v>33</v>
      </c>
      <c r="C246" s="32" t="s">
        <v>91</v>
      </c>
      <c r="D246" s="26" t="s">
        <v>196</v>
      </c>
      <c r="E246" s="80" t="s">
        <v>158</v>
      </c>
      <c r="F246" s="80" t="s">
        <v>128</v>
      </c>
      <c r="G246" s="80" t="s">
        <v>182</v>
      </c>
      <c r="H246" s="80" t="s">
        <v>38</v>
      </c>
      <c r="I246" s="48" t="s">
        <v>193</v>
      </c>
      <c r="J246" s="65" t="s">
        <v>197</v>
      </c>
    </row>
    <row r="247" spans="2:10" x14ac:dyDescent="0.2">
      <c r="B247" s="6">
        <f xml:space="preserve"> ROW( co_scalarInfo[[#This Row],[row_id]] ) - ROW( co_scalarInfo[[#Headers],[row_id]] )</f>
        <v>34</v>
      </c>
      <c r="C247" s="32" t="s">
        <v>72</v>
      </c>
      <c r="D247" s="26" t="s">
        <v>52</v>
      </c>
      <c r="E247" s="80" t="s">
        <v>158</v>
      </c>
      <c r="F247" s="80" t="s">
        <v>128</v>
      </c>
      <c r="G247" s="80" t="s">
        <v>183</v>
      </c>
      <c r="H247" s="81">
        <v>2010</v>
      </c>
      <c r="I247" s="48" t="s">
        <v>191</v>
      </c>
      <c r="J247" s="65"/>
    </row>
    <row r="248" spans="2:10" x14ac:dyDescent="0.2">
      <c r="B248" s="6">
        <f xml:space="preserve"> ROW( co_scalarInfo[[#This Row],[row_id]] ) - ROW( co_scalarInfo[[#Headers],[row_id]] )</f>
        <v>35</v>
      </c>
      <c r="C248" s="32" t="s">
        <v>87</v>
      </c>
      <c r="D248" s="26" t="s">
        <v>48</v>
      </c>
      <c r="E248" s="80" t="s">
        <v>158</v>
      </c>
      <c r="F248" s="80" t="s">
        <v>184</v>
      </c>
      <c r="G248" s="80" t="s">
        <v>183</v>
      </c>
      <c r="H248" s="81" t="s">
        <v>225</v>
      </c>
      <c r="I248" s="48" t="s">
        <v>192</v>
      </c>
      <c r="J248" s="65"/>
    </row>
    <row r="249" spans="2:10" x14ac:dyDescent="0.2">
      <c r="B249" s="6">
        <f xml:space="preserve"> ROW( co_scalarInfo[[#This Row],[row_id]] ) - ROW( co_scalarInfo[[#Headers],[row_id]] )</f>
        <v>36</v>
      </c>
      <c r="C249" s="32" t="s">
        <v>86</v>
      </c>
      <c r="D249" s="26" t="s">
        <v>139</v>
      </c>
      <c r="E249" s="80" t="s">
        <v>158</v>
      </c>
      <c r="F249" s="80" t="s">
        <v>128</v>
      </c>
      <c r="G249" s="80" t="s">
        <v>183</v>
      </c>
      <c r="H249" s="81">
        <v>2010</v>
      </c>
      <c r="I249" s="48" t="s">
        <v>191</v>
      </c>
      <c r="J249" s="65"/>
    </row>
    <row r="250" spans="2:10" ht="33.75" x14ac:dyDescent="0.2">
      <c r="B250" s="6">
        <f xml:space="preserve"> ROW( co_scalarInfo[[#This Row],[row_id]] ) - ROW( co_scalarInfo[[#Headers],[row_id]] )</f>
        <v>37</v>
      </c>
      <c r="C250" s="32" t="s">
        <v>685</v>
      </c>
      <c r="D250" s="26" t="s">
        <v>686</v>
      </c>
      <c r="E250" s="80" t="s">
        <v>173</v>
      </c>
      <c r="F250" s="80" t="s">
        <v>184</v>
      </c>
      <c r="G250" s="80" t="s">
        <v>183</v>
      </c>
      <c r="H250" s="81" t="s">
        <v>225</v>
      </c>
      <c r="I250" s="48" t="s">
        <v>191</v>
      </c>
      <c r="J250" s="65"/>
    </row>
    <row r="251" spans="2:10" ht="33.75" x14ac:dyDescent="0.2">
      <c r="B251" s="6">
        <f xml:space="preserve"> ROW( co_scalarInfo[[#This Row],[row_id]] ) - ROW( co_scalarInfo[[#Headers],[row_id]] )</f>
        <v>38</v>
      </c>
      <c r="C251" s="32" t="s">
        <v>652</v>
      </c>
      <c r="D251" s="26" t="s">
        <v>659</v>
      </c>
      <c r="E251" s="80" t="s">
        <v>173</v>
      </c>
      <c r="F251" s="80" t="s">
        <v>184</v>
      </c>
      <c r="G251" s="80" t="s">
        <v>183</v>
      </c>
      <c r="H251" s="81">
        <v>2015</v>
      </c>
      <c r="I251" s="48" t="s">
        <v>191</v>
      </c>
      <c r="J251" s="65"/>
    </row>
    <row r="252" spans="2:10" ht="33.75" x14ac:dyDescent="0.2">
      <c r="B252" s="6">
        <f xml:space="preserve"> ROW( co_scalarInfo[[#This Row],[row_id]] ) - ROW( co_scalarInfo[[#Headers],[row_id]] )</f>
        <v>39</v>
      </c>
      <c r="C252" s="28" t="s">
        <v>573</v>
      </c>
      <c r="D252" s="26" t="s">
        <v>575</v>
      </c>
      <c r="E252" s="80" t="s">
        <v>173</v>
      </c>
      <c r="F252" s="80" t="s">
        <v>184</v>
      </c>
      <c r="G252" s="80" t="s">
        <v>183</v>
      </c>
      <c r="H252" s="81" t="s">
        <v>225</v>
      </c>
      <c r="I252" s="48"/>
      <c r="J252" s="65"/>
    </row>
    <row r="253" spans="2:10" ht="33.75" x14ac:dyDescent="0.2">
      <c r="B253" s="6">
        <f xml:space="preserve"> ROW( co_scalarInfo[[#This Row],[row_id]] ) - ROW( co_scalarInfo[[#Headers],[row_id]] )</f>
        <v>40</v>
      </c>
      <c r="C253" s="28" t="s">
        <v>574</v>
      </c>
      <c r="D253" s="26" t="s">
        <v>576</v>
      </c>
      <c r="E253" s="80" t="s">
        <v>173</v>
      </c>
      <c r="F253" s="80" t="s">
        <v>184</v>
      </c>
      <c r="G253" s="80" t="s">
        <v>183</v>
      </c>
      <c r="H253" s="81" t="s">
        <v>225</v>
      </c>
      <c r="I253" s="48"/>
      <c r="J253" s="65"/>
    </row>
    <row r="254" spans="2:10" ht="22.5" x14ac:dyDescent="0.2">
      <c r="B254" s="6">
        <f xml:space="preserve"> ROW( co_scalarInfo[[#This Row],[row_id]] ) - ROW( co_scalarInfo[[#Headers],[row_id]] )</f>
        <v>41</v>
      </c>
      <c r="C254" s="32" t="s">
        <v>436</v>
      </c>
      <c r="D254" s="26" t="s">
        <v>437</v>
      </c>
      <c r="E254" s="80" t="s">
        <v>157</v>
      </c>
      <c r="F254" s="80" t="s">
        <v>184</v>
      </c>
      <c r="G254" s="80" t="s">
        <v>183</v>
      </c>
      <c r="H254" s="81" t="s">
        <v>225</v>
      </c>
      <c r="I254" s="48"/>
      <c r="J254" s="65"/>
    </row>
    <row r="255" spans="2:10" ht="33.75" x14ac:dyDescent="0.2">
      <c r="B255" s="6">
        <f xml:space="preserve"> ROW( co_scalarInfo[[#This Row],[row_id]] ) - ROW( co_scalarInfo[[#Headers],[row_id]] )</f>
        <v>42</v>
      </c>
      <c r="C255" s="32" t="s">
        <v>438</v>
      </c>
      <c r="D255" s="26" t="s">
        <v>439</v>
      </c>
      <c r="E255" s="80" t="s">
        <v>173</v>
      </c>
      <c r="F255" s="80" t="s">
        <v>184</v>
      </c>
      <c r="G255" s="80" t="s">
        <v>183</v>
      </c>
      <c r="H255" s="81" t="s">
        <v>225</v>
      </c>
      <c r="I255" s="48"/>
      <c r="J255" s="65"/>
    </row>
    <row r="258" spans="1:21" ht="15" x14ac:dyDescent="0.25">
      <c r="A258" s="16"/>
      <c r="B258" s="17" t="s">
        <v>292</v>
      </c>
      <c r="C258" s="17"/>
      <c r="D258" s="17"/>
      <c r="E258" s="17"/>
      <c r="F258" s="17"/>
      <c r="G258" s="17"/>
      <c r="H258" s="17"/>
      <c r="I258" s="17"/>
      <c r="J258" s="17"/>
      <c r="K258" s="17"/>
      <c r="L258" s="17"/>
      <c r="M258" s="17"/>
      <c r="N258" s="17"/>
      <c r="O258" s="17"/>
      <c r="P258" s="17"/>
      <c r="Q258" s="17"/>
      <c r="R258" s="17"/>
      <c r="S258" s="17"/>
      <c r="T258" s="17"/>
      <c r="U258" s="17"/>
    </row>
    <row r="260" spans="1:21" x14ac:dyDescent="0.2">
      <c r="B260" s="29" t="s">
        <v>123</v>
      </c>
      <c r="C260" s="29" t="s">
        <v>198</v>
      </c>
      <c r="D260" s="29" t="s">
        <v>223</v>
      </c>
      <c r="E260" s="30" t="s">
        <v>159</v>
      </c>
    </row>
    <row r="261" spans="1:21" x14ac:dyDescent="0.2">
      <c r="B261" s="4">
        <f xml:space="preserve"> ROW( co_econMultipliers[[#This Row],[row_id]] ) - ROW( co_econMultipliers[[#Headers],[row_id]] )</f>
        <v>1</v>
      </c>
      <c r="C261" s="7" t="s">
        <v>187</v>
      </c>
      <c r="D261" s="44" t="s">
        <v>194</v>
      </c>
      <c r="E261" s="45">
        <v>2015</v>
      </c>
    </row>
    <row r="262" spans="1:21" x14ac:dyDescent="0.2">
      <c r="B262" s="4">
        <f xml:space="preserve"> ROW( co_econMultipliers[[#This Row],[row_id]] ) - ROW( co_econMultipliers[[#Headers],[row_id]] )</f>
        <v>2</v>
      </c>
      <c r="C262" s="7" t="s">
        <v>92</v>
      </c>
      <c r="D262" s="44" t="s">
        <v>195</v>
      </c>
      <c r="E262" s="45" t="s">
        <v>38</v>
      </c>
    </row>
    <row r="263" spans="1:21" x14ac:dyDescent="0.2">
      <c r="B263" s="4">
        <f xml:space="preserve"> ROW( co_econMultipliers[[#This Row],[row_id]] ) - ROW( co_econMultipliers[[#Headers],[row_id]] )</f>
        <v>3</v>
      </c>
      <c r="C263" s="7" t="s">
        <v>91</v>
      </c>
      <c r="D263" s="44" t="s">
        <v>196</v>
      </c>
      <c r="E263" s="45" t="s">
        <v>38</v>
      </c>
    </row>
    <row r="266" spans="1:21" ht="15" x14ac:dyDescent="0.25">
      <c r="A266" s="16"/>
      <c r="B266" s="17" t="s">
        <v>293</v>
      </c>
      <c r="C266" s="17"/>
      <c r="D266" s="17"/>
      <c r="E266" s="17"/>
      <c r="F266" s="17"/>
      <c r="G266" s="17"/>
      <c r="H266" s="17"/>
      <c r="I266" s="17"/>
      <c r="J266" s="17"/>
      <c r="K266" s="17"/>
      <c r="L266" s="17"/>
      <c r="M266" s="17"/>
      <c r="N266" s="17"/>
      <c r="O266" s="17"/>
      <c r="P266" s="17"/>
      <c r="Q266" s="17"/>
      <c r="R266" s="17"/>
      <c r="S266" s="17"/>
      <c r="T266" s="17"/>
      <c r="U266" s="17"/>
    </row>
    <row r="268" spans="1:21" x14ac:dyDescent="0.2">
      <c r="B268" s="29" t="s">
        <v>123</v>
      </c>
      <c r="C268" s="29" t="s">
        <v>128</v>
      </c>
      <c r="D268" s="29" t="s">
        <v>90</v>
      </c>
    </row>
    <row r="269" spans="1:21" x14ac:dyDescent="0.2">
      <c r="B269" s="4">
        <f xml:space="preserve"> ROW( co_constants[[#This Row],[row_id]] ) - ROW( co_constants[[#Headers],[row_id]] )</f>
        <v>1</v>
      </c>
      <c r="C269" s="7" t="s">
        <v>125</v>
      </c>
      <c r="D269" s="84">
        <f xml:space="preserve"> 10^9</f>
        <v>1000000000</v>
      </c>
    </row>
    <row r="270" spans="1:21" x14ac:dyDescent="0.2">
      <c r="B270" s="4">
        <f xml:space="preserve"> ROW( co_constants[[#This Row],[row_id]] ) - ROW( co_constants[[#Headers],[row_id]] )</f>
        <v>2</v>
      </c>
      <c r="C270" s="7" t="s">
        <v>126</v>
      </c>
      <c r="D270" s="84">
        <f xml:space="preserve"> 10^6</f>
        <v>1000000</v>
      </c>
    </row>
    <row r="271" spans="1:21" x14ac:dyDescent="0.2">
      <c r="B271" s="4">
        <f xml:space="preserve"> ROW( co_constants[[#This Row],[row_id]] ) - ROW( co_constants[[#Headers],[row_id]] )</f>
        <v>3</v>
      </c>
      <c r="C271" s="7" t="s">
        <v>127</v>
      </c>
      <c r="D271" s="84">
        <v>1000</v>
      </c>
    </row>
    <row r="274" spans="1:21" ht="15" x14ac:dyDescent="0.25">
      <c r="A274" s="16"/>
      <c r="B274" s="17" t="s">
        <v>546</v>
      </c>
      <c r="C274" s="17"/>
      <c r="D274" s="17"/>
      <c r="E274" s="17"/>
      <c r="F274" s="17"/>
      <c r="G274" s="17"/>
      <c r="H274" s="17"/>
      <c r="I274" s="17"/>
      <c r="J274" s="17"/>
      <c r="K274" s="17"/>
      <c r="L274" s="17"/>
      <c r="M274" s="17"/>
      <c r="N274" s="17"/>
      <c r="O274" s="17"/>
      <c r="P274" s="17"/>
      <c r="Q274" s="17"/>
      <c r="R274" s="17"/>
      <c r="S274" s="17"/>
      <c r="T274" s="17"/>
      <c r="U274" s="17"/>
    </row>
    <row r="275" spans="1:21" x14ac:dyDescent="0.2">
      <c r="B275" s="2" t="s">
        <v>547</v>
      </c>
    </row>
    <row r="277" spans="1:21" x14ac:dyDescent="0.2">
      <c r="B277" s="43" t="s">
        <v>123</v>
      </c>
      <c r="C277" s="29" t="s">
        <v>200</v>
      </c>
      <c r="D277" s="30" t="s">
        <v>209</v>
      </c>
      <c r="E277" s="29" t="s">
        <v>135</v>
      </c>
      <c r="F277" s="29" t="s">
        <v>198</v>
      </c>
      <c r="G277" s="29" t="s">
        <v>107</v>
      </c>
      <c r="H277" s="29" t="s">
        <v>108</v>
      </c>
      <c r="I277" s="29" t="s">
        <v>548</v>
      </c>
      <c r="J277" s="29" t="s">
        <v>549</v>
      </c>
    </row>
    <row r="278" spans="1:21" x14ac:dyDescent="0.2">
      <c r="B278" s="4">
        <f xml:space="preserve"> ROW( co_slrScalars[[#This Row],[row_id]] ) - ROW( co_slrScalars[[#Headers],[row_id]] )</f>
        <v>1</v>
      </c>
      <c r="C278" s="44" t="s">
        <v>21</v>
      </c>
      <c r="D278" s="47" t="s">
        <v>207</v>
      </c>
      <c r="E278" s="44" t="s">
        <v>87</v>
      </c>
      <c r="F278" s="44" t="s">
        <v>92</v>
      </c>
      <c r="G278" s="44">
        <v>1</v>
      </c>
      <c r="H278" s="44">
        <v>0.45</v>
      </c>
      <c r="I278" s="44">
        <v>0</v>
      </c>
      <c r="J278" s="44">
        <v>2100</v>
      </c>
    </row>
    <row r="279" spans="1:21" x14ac:dyDescent="0.2">
      <c r="B279" s="4">
        <f xml:space="preserve"> ROW( co_slrScalars[[#This Row],[row_id]] ) - ROW( co_slrScalars[[#Headers],[row_id]] )</f>
        <v>2</v>
      </c>
      <c r="C279" s="44" t="s">
        <v>58</v>
      </c>
      <c r="D279" s="47" t="s">
        <v>207</v>
      </c>
      <c r="E279" s="44" t="s">
        <v>87</v>
      </c>
      <c r="F279" s="44" t="s">
        <v>187</v>
      </c>
      <c r="G279" s="44">
        <v>0.16250000000000001</v>
      </c>
      <c r="H279" s="44">
        <v>1</v>
      </c>
      <c r="I279" s="44">
        <v>0.83750000000000002</v>
      </c>
      <c r="J279" s="44">
        <v>2100</v>
      </c>
    </row>
    <row r="280" spans="1:21" x14ac:dyDescent="0.2">
      <c r="B280" s="4">
        <f xml:space="preserve"> ROW( co_slrScalars[[#This Row],[row_id]] ) - ROW( co_slrScalars[[#Headers],[row_id]] )</f>
        <v>3</v>
      </c>
      <c r="C280" s="7" t="s">
        <v>621</v>
      </c>
      <c r="D280" s="47" t="s">
        <v>603</v>
      </c>
      <c r="E280" s="44" t="s">
        <v>91</v>
      </c>
      <c r="F280" s="44" t="s">
        <v>91</v>
      </c>
      <c r="G280" s="44">
        <v>0</v>
      </c>
      <c r="H280" s="44">
        <v>1</v>
      </c>
      <c r="I280" s="44">
        <v>0</v>
      </c>
      <c r="J280" s="44">
        <v>2100</v>
      </c>
    </row>
    <row r="281" spans="1:21" x14ac:dyDescent="0.2">
      <c r="B281" s="4">
        <f xml:space="preserve"> ROW( co_slrScalars[[#This Row],[row_id]] ) - ROW( co_slrScalars[[#Headers],[row_id]] )</f>
        <v>4</v>
      </c>
      <c r="C281" s="7" t="s">
        <v>621</v>
      </c>
      <c r="D281" s="47" t="s">
        <v>604</v>
      </c>
      <c r="E281" s="44" t="s">
        <v>91</v>
      </c>
      <c r="F281" s="44" t="s">
        <v>91</v>
      </c>
      <c r="G281" s="44">
        <v>0</v>
      </c>
      <c r="H281" s="44">
        <v>1</v>
      </c>
      <c r="I281" s="44">
        <v>0</v>
      </c>
      <c r="J281" s="44">
        <v>2100</v>
      </c>
    </row>
    <row r="282" spans="1:21" x14ac:dyDescent="0.2">
      <c r="B282" s="4">
        <f xml:space="preserve"> ROW( co_slrScalars[[#This Row],[row_id]] ) - ROW( co_slrScalars[[#Headers],[row_id]] )</f>
        <v>5</v>
      </c>
      <c r="C282" s="7" t="s">
        <v>621</v>
      </c>
      <c r="D282" s="47" t="s">
        <v>605</v>
      </c>
      <c r="E282" s="44" t="s">
        <v>91</v>
      </c>
      <c r="F282" s="44" t="s">
        <v>91</v>
      </c>
      <c r="G282" s="44">
        <v>0</v>
      </c>
      <c r="H282" s="44">
        <v>1</v>
      </c>
      <c r="I282" s="44">
        <v>0</v>
      </c>
      <c r="J282" s="44">
        <v>2100</v>
      </c>
    </row>
    <row r="283" spans="1:21" x14ac:dyDescent="0.2">
      <c r="B283" s="4">
        <f xml:space="preserve"> ROW( co_slrScalars[[#This Row],[row_id]] ) - ROW( co_slrScalars[[#Headers],[row_id]] )</f>
        <v>6</v>
      </c>
      <c r="C283" s="7" t="s">
        <v>621</v>
      </c>
      <c r="D283" s="47" t="s">
        <v>606</v>
      </c>
      <c r="E283" s="44" t="s">
        <v>91</v>
      </c>
      <c r="F283" s="86" t="s">
        <v>91</v>
      </c>
      <c r="G283" s="44">
        <v>1</v>
      </c>
      <c r="H283" s="44">
        <v>1</v>
      </c>
      <c r="I283" s="44">
        <v>1</v>
      </c>
      <c r="J283" s="44">
        <v>2100</v>
      </c>
    </row>
    <row r="284" spans="1:21" x14ac:dyDescent="0.2">
      <c r="B284" s="4">
        <f xml:space="preserve"> ROW( co_slrScalars[[#This Row],[row_id]] ) - ROW( co_slrScalars[[#Headers],[row_id]] )</f>
        <v>7</v>
      </c>
      <c r="C284" s="7" t="s">
        <v>622</v>
      </c>
      <c r="D284" s="47" t="s">
        <v>607</v>
      </c>
      <c r="E284" s="44" t="s">
        <v>91</v>
      </c>
      <c r="F284" s="44" t="s">
        <v>91</v>
      </c>
      <c r="G284" s="44">
        <v>1</v>
      </c>
      <c r="H284" s="44">
        <v>1</v>
      </c>
      <c r="I284" s="44">
        <v>1</v>
      </c>
      <c r="J284" s="44">
        <v>2100</v>
      </c>
    </row>
    <row r="286" spans="1:21" ht="15" x14ac:dyDescent="0.25">
      <c r="A286" s="16"/>
      <c r="B286" s="17" t="s">
        <v>290</v>
      </c>
      <c r="C286" s="17"/>
      <c r="D286" s="17"/>
      <c r="E286" s="17"/>
      <c r="F286" s="17"/>
      <c r="G286" s="17"/>
      <c r="H286" s="17"/>
      <c r="I286" s="17"/>
      <c r="J286" s="17"/>
      <c r="K286" s="17"/>
      <c r="L286" s="17"/>
      <c r="M286" s="17"/>
      <c r="N286" s="17"/>
      <c r="O286" s="17"/>
      <c r="P286" s="17"/>
      <c r="Q286" s="17"/>
      <c r="R286" s="17"/>
      <c r="S286" s="17"/>
      <c r="T286" s="17"/>
      <c r="U286" s="17"/>
    </row>
    <row r="288" spans="1:21" x14ac:dyDescent="0.2">
      <c r="B288" s="37" t="s">
        <v>123</v>
      </c>
      <c r="C288" s="37" t="s">
        <v>231</v>
      </c>
      <c r="D288" s="37" t="s">
        <v>232</v>
      </c>
      <c r="E288" s="39" t="s">
        <v>307</v>
      </c>
      <c r="F288" s="39" t="s">
        <v>236</v>
      </c>
      <c r="G288" s="38" t="s">
        <v>237</v>
      </c>
      <c r="H288" s="38" t="s">
        <v>239</v>
      </c>
      <c r="I288" s="36" t="s">
        <v>245</v>
      </c>
      <c r="J288" s="36" t="s">
        <v>244</v>
      </c>
      <c r="K288" s="36" t="s">
        <v>248</v>
      </c>
      <c r="L288" s="36" t="s">
        <v>249</v>
      </c>
    </row>
    <row r="289" spans="1:21" x14ac:dyDescent="0.2">
      <c r="B289" s="4">
        <f xml:space="preserve"> ROW( co_modelTypes[[#This Row],[row_id]] ) - ROW( co_modelTypes[[#Headers],[row_id]] )</f>
        <v>1</v>
      </c>
      <c r="C289" s="7" t="s">
        <v>161</v>
      </c>
      <c r="D289" s="7" t="s">
        <v>230</v>
      </c>
      <c r="E289" s="41" t="s">
        <v>308</v>
      </c>
      <c r="F289" s="41" t="s">
        <v>229</v>
      </c>
      <c r="G289" s="40" t="s">
        <v>238</v>
      </c>
      <c r="H289" s="40" t="s">
        <v>234</v>
      </c>
      <c r="I289" s="42">
        <v>1</v>
      </c>
      <c r="J289" s="42">
        <v>1995</v>
      </c>
      <c r="K289" s="42">
        <v>6</v>
      </c>
      <c r="L289" s="42">
        <v>30</v>
      </c>
    </row>
    <row r="290" spans="1:21" x14ac:dyDescent="0.2">
      <c r="B290" s="4">
        <f xml:space="preserve"> ROW( co_modelTypes[[#This Row],[row_id]] ) - ROW( co_modelTypes[[#Headers],[row_id]] )</f>
        <v>2</v>
      </c>
      <c r="C290" s="7" t="s">
        <v>160</v>
      </c>
      <c r="D290" s="7" t="s">
        <v>233</v>
      </c>
      <c r="E290" s="41" t="s">
        <v>160</v>
      </c>
      <c r="F290" s="41" t="s">
        <v>323</v>
      </c>
      <c r="G290" s="40" t="s">
        <v>235</v>
      </c>
      <c r="H290" s="40" t="s">
        <v>235</v>
      </c>
      <c r="I290" s="42">
        <v>25</v>
      </c>
      <c r="J290" s="42">
        <v>2000</v>
      </c>
      <c r="K290" s="42">
        <v>250</v>
      </c>
      <c r="L290" s="42">
        <v>1000</v>
      </c>
    </row>
    <row r="293" spans="1:21" ht="15" x14ac:dyDescent="0.25">
      <c r="A293" s="16"/>
      <c r="B293" s="17" t="s">
        <v>578</v>
      </c>
      <c r="C293" s="17"/>
      <c r="D293" s="17"/>
      <c r="E293" s="17"/>
      <c r="F293" s="17"/>
      <c r="G293" s="17"/>
      <c r="H293" s="17"/>
      <c r="I293" s="17"/>
      <c r="J293" s="17"/>
      <c r="K293" s="17"/>
      <c r="L293" s="17"/>
      <c r="M293" s="17"/>
      <c r="N293" s="17"/>
      <c r="O293" s="17"/>
      <c r="P293" s="17"/>
      <c r="Q293" s="17"/>
      <c r="R293" s="17"/>
      <c r="S293" s="17"/>
      <c r="T293" s="17"/>
      <c r="U293" s="17"/>
    </row>
    <row r="295" spans="1:21" x14ac:dyDescent="0.2">
      <c r="B295" s="43" t="s">
        <v>123</v>
      </c>
      <c r="C295" s="29" t="s">
        <v>188</v>
      </c>
      <c r="D295" s="29" t="s">
        <v>545</v>
      </c>
      <c r="E295" s="29" t="s">
        <v>179</v>
      </c>
      <c r="F295" s="30" t="s">
        <v>227</v>
      </c>
    </row>
    <row r="296" spans="1:21" x14ac:dyDescent="0.2">
      <c r="B296" s="4">
        <f xml:space="preserve"> ROW( co_models[[#This Row],[row_id]] ) - ROW( co_models[[#Headers],[row_id]] )</f>
        <v>1</v>
      </c>
      <c r="C296" s="89" t="str">
        <f xml:space="preserve"> SUBSTITUTE( SUBSTITUTE( co_models[[#This Row],[model_label]], " ", "" ), "-", "" )</f>
        <v>CanESM2</v>
      </c>
      <c r="D296" s="44">
        <v>6</v>
      </c>
      <c r="E296" s="44" t="s">
        <v>161</v>
      </c>
      <c r="F296" s="86" t="s">
        <v>0</v>
      </c>
    </row>
    <row r="297" spans="1:21" x14ac:dyDescent="0.2">
      <c r="B297" s="4">
        <f xml:space="preserve"> ROW( co_models[[#This Row],[row_id]] ) - ROW( co_models[[#Headers],[row_id]] )</f>
        <v>2</v>
      </c>
      <c r="C297" s="89" t="str">
        <f xml:space="preserve"> SUBSTITUTE( SUBSTITUTE( co_models[[#This Row],[model_label]], " ", "" ), "-", "" )</f>
        <v>CCSM4</v>
      </c>
      <c r="D297" s="44">
        <v>5</v>
      </c>
      <c r="E297" s="44" t="s">
        <v>161</v>
      </c>
      <c r="F297" s="86" t="s">
        <v>1</v>
      </c>
    </row>
    <row r="298" spans="1:21" x14ac:dyDescent="0.2">
      <c r="B298" s="4">
        <f xml:space="preserve"> ROW( co_models[[#This Row],[row_id]] ) - ROW( co_models[[#Headers],[row_id]] )</f>
        <v>3</v>
      </c>
      <c r="C298" s="89" t="str">
        <f xml:space="preserve"> SUBSTITUTE( SUBSTITUTE( co_models[[#This Row],[model_label]], " ", "" ), "-", "" )</f>
        <v>GISSE2R</v>
      </c>
      <c r="D298" s="44">
        <v>3</v>
      </c>
      <c r="E298" s="44" t="s">
        <v>161</v>
      </c>
      <c r="F298" s="86" t="s">
        <v>2</v>
      </c>
    </row>
    <row r="299" spans="1:21" x14ac:dyDescent="0.2">
      <c r="B299" s="4">
        <f xml:space="preserve"> ROW( co_models[[#This Row],[row_id]] ) - ROW( co_models[[#Headers],[row_id]] )</f>
        <v>4</v>
      </c>
      <c r="C299" s="89" t="str">
        <f xml:space="preserve"> SUBSTITUTE( SUBSTITUTE( co_models[[#This Row],[model_label]], " ", "" ), "-", "" )</f>
        <v>HadGEM2ES</v>
      </c>
      <c r="D299" s="44">
        <v>6</v>
      </c>
      <c r="E299" s="44" t="s">
        <v>161</v>
      </c>
      <c r="F299" s="86" t="s">
        <v>3</v>
      </c>
    </row>
    <row r="300" spans="1:21" x14ac:dyDescent="0.2">
      <c r="B300" s="4">
        <f xml:space="preserve"> ROW( co_models[[#This Row],[row_id]] ) - ROW( co_models[[#Headers],[row_id]] )</f>
        <v>5</v>
      </c>
      <c r="C300" s="89" t="str">
        <f xml:space="preserve"> SUBSTITUTE( SUBSTITUTE( co_models[[#This Row],[model_label]], " ", "" ), "-", "" )</f>
        <v>MIROC5</v>
      </c>
      <c r="D300" s="44">
        <v>5</v>
      </c>
      <c r="E300" s="44" t="s">
        <v>161</v>
      </c>
      <c r="F300" s="86" t="s">
        <v>4</v>
      </c>
    </row>
    <row r="301" spans="1:21" x14ac:dyDescent="0.2">
      <c r="B301" s="4">
        <f xml:space="preserve"> ROW( co_models[[#This Row],[row_id]] ) - ROW( co_models[[#Headers],[row_id]] )</f>
        <v>6</v>
      </c>
      <c r="C301" s="89" t="str">
        <f xml:space="preserve"> SUBSTITUTE( SUBSTITUTE( co_models[[#This Row],[model_label]], " ", "" ), "-", "" )</f>
        <v>GFDLCM3</v>
      </c>
      <c r="D301" s="44">
        <v>6</v>
      </c>
      <c r="E301" s="44" t="s">
        <v>161</v>
      </c>
      <c r="F301" s="86" t="s">
        <v>5</v>
      </c>
    </row>
    <row r="302" spans="1:21" x14ac:dyDescent="0.2">
      <c r="B302" s="4">
        <f xml:space="preserve"> ROW( co_models[[#This Row],[row_id]] ) - ROW( co_models[[#Headers],[row_id]] )</f>
        <v>7</v>
      </c>
      <c r="C302" s="89" t="str">
        <f xml:space="preserve"> SUBSTITUTE( SUBSTITUTE( co_models[[#This Row],[model_label]], " ", "" ), "-", "" )</f>
        <v>MRICGCM3</v>
      </c>
      <c r="D302" s="44">
        <v>3</v>
      </c>
      <c r="E302" s="44" t="s">
        <v>161</v>
      </c>
      <c r="F302" s="86" t="s">
        <v>341</v>
      </c>
    </row>
    <row r="303" spans="1:21" x14ac:dyDescent="0.2">
      <c r="B303" s="4">
        <f xml:space="preserve"> ROW( co_models[[#This Row],[row_id]] ) - ROW( co_models[[#Headers],[row_id]] )</f>
        <v>8</v>
      </c>
      <c r="C303" s="89" t="str">
        <f xml:space="preserve"> SUBSTITUTE( SUBSTITUTE( co_models[[#This Row],[model_label]], " ", "" ), "-", "" )</f>
        <v>GCMEnsemble</v>
      </c>
      <c r="D303" s="44">
        <v>5</v>
      </c>
      <c r="E303" s="44" t="s">
        <v>161</v>
      </c>
      <c r="F303" s="86" t="s">
        <v>339</v>
      </c>
    </row>
    <row r="304" spans="1:21" x14ac:dyDescent="0.2">
      <c r="B304" s="4">
        <f xml:space="preserve"> ROW( co_models[[#This Row],[row_id]] ) - ROW( co_models[[#Headers],[row_id]] )</f>
        <v>9</v>
      </c>
      <c r="C304" s="89" t="str">
        <f xml:space="preserve"> SUBSTITUTE( SUBSTITUTE( co_models[[#This Row],[model_label]], " ", "" ), "-", "" )</f>
        <v>30cm</v>
      </c>
      <c r="D304" s="44">
        <v>250</v>
      </c>
      <c r="E304" s="44" t="s">
        <v>160</v>
      </c>
      <c r="F304" s="86" t="s">
        <v>579</v>
      </c>
    </row>
    <row r="305" spans="1:21" x14ac:dyDescent="0.2">
      <c r="B305" s="4">
        <f xml:space="preserve"> ROW( co_models[[#This Row],[row_id]] ) - ROW( co_models[[#Headers],[row_id]] )</f>
        <v>10</v>
      </c>
      <c r="C305" s="89" t="str">
        <f xml:space="preserve"> SUBSTITUTE( SUBSTITUTE( co_models[[#This Row],[model_label]], " ", "" ), "-", "" )</f>
        <v>50cm</v>
      </c>
      <c r="D305" s="44">
        <v>250</v>
      </c>
      <c r="E305" s="44" t="s">
        <v>160</v>
      </c>
      <c r="F305" s="86" t="s">
        <v>580</v>
      </c>
    </row>
    <row r="306" spans="1:21" x14ac:dyDescent="0.2">
      <c r="B306" s="4">
        <f xml:space="preserve"> ROW( co_models[[#This Row],[row_id]] ) - ROW( co_models[[#Headers],[row_id]] )</f>
        <v>11</v>
      </c>
      <c r="C306" s="89" t="str">
        <f xml:space="preserve"> SUBSTITUTE( SUBSTITUTE( co_models[[#This Row],[model_label]], " ", "" ), "-", "" )</f>
        <v>100cm</v>
      </c>
      <c r="D306" s="44">
        <v>250</v>
      </c>
      <c r="E306" s="44" t="s">
        <v>160</v>
      </c>
      <c r="F306" s="86" t="s">
        <v>581</v>
      </c>
    </row>
    <row r="307" spans="1:21" x14ac:dyDescent="0.2">
      <c r="B307" s="4">
        <f xml:space="preserve"> ROW( co_models[[#This Row],[row_id]] ) - ROW( co_models[[#Headers],[row_id]] )</f>
        <v>12</v>
      </c>
      <c r="C307" s="89" t="str">
        <f xml:space="preserve"> SUBSTITUTE( SUBSTITUTE( co_models[[#This Row],[model_label]], " ", "" ), "-", "" )</f>
        <v>150cm</v>
      </c>
      <c r="D307" s="44">
        <v>250</v>
      </c>
      <c r="E307" s="44" t="s">
        <v>160</v>
      </c>
      <c r="F307" s="86" t="s">
        <v>582</v>
      </c>
    </row>
    <row r="308" spans="1:21" x14ac:dyDescent="0.2">
      <c r="B308" s="4">
        <f xml:space="preserve"> ROW( co_models[[#This Row],[row_id]] ) - ROW( co_models[[#Headers],[row_id]] )</f>
        <v>13</v>
      </c>
      <c r="C308" s="89" t="str">
        <f xml:space="preserve"> SUBSTITUTE( SUBSTITUTE( co_models[[#This Row],[model_label]], " ", "" ), "-", "" )</f>
        <v>200cm</v>
      </c>
      <c r="D308" s="44">
        <v>250</v>
      </c>
      <c r="E308" s="44" t="s">
        <v>160</v>
      </c>
      <c r="F308" s="86" t="s">
        <v>583</v>
      </c>
    </row>
    <row r="309" spans="1:21" x14ac:dyDescent="0.2">
      <c r="B309" s="4">
        <f xml:space="preserve"> ROW( co_models[[#This Row],[row_id]] ) - ROW( co_models[[#Headers],[row_id]] )</f>
        <v>14</v>
      </c>
      <c r="C309" s="89" t="str">
        <f xml:space="preserve"> SUBSTITUTE( SUBSTITUTE( co_models[[#This Row],[model_label]], " ", "" ), "-", "" )</f>
        <v>250cm</v>
      </c>
      <c r="D309" s="44">
        <v>250</v>
      </c>
      <c r="E309" s="44" t="s">
        <v>160</v>
      </c>
      <c r="F309" s="86" t="s">
        <v>584</v>
      </c>
    </row>
    <row r="312" spans="1:21" ht="15" x14ac:dyDescent="0.25">
      <c r="A312" s="16"/>
      <c r="B312" s="17" t="s">
        <v>306</v>
      </c>
      <c r="C312" s="17"/>
      <c r="D312" s="17"/>
      <c r="E312" s="17"/>
      <c r="F312" s="17"/>
      <c r="G312" s="17"/>
      <c r="H312" s="17"/>
      <c r="I312" s="17"/>
      <c r="J312" s="17"/>
      <c r="K312" s="17"/>
      <c r="L312" s="17"/>
      <c r="M312" s="17"/>
      <c r="N312" s="17"/>
      <c r="O312" s="17"/>
      <c r="P312" s="17"/>
      <c r="Q312" s="17"/>
      <c r="R312" s="17"/>
      <c r="S312" s="17"/>
      <c r="T312" s="17"/>
      <c r="U312" s="17"/>
    </row>
    <row r="314" spans="1:21" x14ac:dyDescent="0.2">
      <c r="B314" s="29" t="s">
        <v>123</v>
      </c>
      <c r="C314" s="29" t="s">
        <v>307</v>
      </c>
      <c r="D314" s="29" t="s">
        <v>311</v>
      </c>
      <c r="E314" s="29" t="s">
        <v>316</v>
      </c>
      <c r="F314" s="31" t="s">
        <v>313</v>
      </c>
      <c r="G314" s="31" t="s">
        <v>321</v>
      </c>
      <c r="H314" s="31" t="s">
        <v>322</v>
      </c>
      <c r="I314" s="31" t="s">
        <v>324</v>
      </c>
      <c r="J314" s="31" t="s">
        <v>55</v>
      </c>
    </row>
    <row r="315" spans="1:21" x14ac:dyDescent="0.2">
      <c r="B315" s="4">
        <f xml:space="preserve"> ROW( co_inputInfo[[#This Row],[row_id]] ) - ROW( co_inputInfo[[#Headers],[row_id]] )</f>
        <v>1</v>
      </c>
      <c r="C315" s="7" t="s">
        <v>308</v>
      </c>
      <c r="D315" s="44" t="s">
        <v>228</v>
      </c>
      <c r="E315" s="44" t="s">
        <v>317</v>
      </c>
      <c r="F315" s="27" t="s">
        <v>234</v>
      </c>
      <c r="G315" s="27">
        <v>0</v>
      </c>
      <c r="H315" s="27"/>
      <c r="I315" s="27" t="s">
        <v>325</v>
      </c>
      <c r="J315" s="27">
        <v>0</v>
      </c>
    </row>
    <row r="316" spans="1:21" x14ac:dyDescent="0.2">
      <c r="B316" s="4">
        <f xml:space="preserve"> ROW( co_inputInfo[[#This Row],[row_id]] ) - ROW( co_inputInfo[[#Headers],[row_id]] )</f>
        <v>2</v>
      </c>
      <c r="C316" s="7" t="s">
        <v>160</v>
      </c>
      <c r="D316" s="44" t="s">
        <v>233</v>
      </c>
      <c r="E316" s="44" t="s">
        <v>318</v>
      </c>
      <c r="F316" s="27" t="s">
        <v>235</v>
      </c>
      <c r="G316" s="27">
        <v>0</v>
      </c>
      <c r="H316" s="27"/>
      <c r="I316" s="27" t="s">
        <v>326</v>
      </c>
      <c r="J316" s="27">
        <v>0</v>
      </c>
    </row>
    <row r="317" spans="1:21" x14ac:dyDescent="0.2">
      <c r="B317" s="4">
        <f xml:space="preserve"> ROW( co_inputInfo[[#This Row],[row_id]] ) - ROW( co_inputInfo[[#Headers],[row_id]] )</f>
        <v>3</v>
      </c>
      <c r="C317" s="7" t="s">
        <v>309</v>
      </c>
      <c r="D317" s="44" t="s">
        <v>312</v>
      </c>
      <c r="E317" s="44" t="s">
        <v>319</v>
      </c>
      <c r="F317" s="27" t="s">
        <v>314</v>
      </c>
      <c r="G317" s="27">
        <v>0</v>
      </c>
      <c r="H317" s="27" t="str">
        <f xml:space="preserve"> IF( ISNA( MATCH( co_inputInfo[[#This Row],[inputType]], co_modelTypes[inputName], 0 ) ), "", INDEX( co_modelTypes[modelMaxExtrap], MATCH( co_inputInfo[[#This Row],[inputType]], co_modelTypes[inputName], 0 ) ) )</f>
        <v/>
      </c>
      <c r="I317" s="27" t="s">
        <v>187</v>
      </c>
      <c r="J317" s="27">
        <v>0</v>
      </c>
    </row>
    <row r="318" spans="1:21" x14ac:dyDescent="0.2">
      <c r="B318" s="4">
        <f xml:space="preserve"> ROW( co_inputInfo[[#This Row],[row_id]] ) - ROW( co_inputInfo[[#Headers],[row_id]] )</f>
        <v>4</v>
      </c>
      <c r="C318" s="7" t="s">
        <v>310</v>
      </c>
      <c r="D318" s="44" t="s">
        <v>577</v>
      </c>
      <c r="E318" s="44" t="s">
        <v>320</v>
      </c>
      <c r="F318" s="27" t="s">
        <v>315</v>
      </c>
      <c r="G318" s="27">
        <v>0</v>
      </c>
      <c r="H318" s="27" t="str">
        <f xml:space="preserve"> IF( ISNA( MATCH( co_inputInfo[[#This Row],[inputType]], co_modelTypes[inputName], 0 ) ), "", INDEX( co_modelTypes[modelMaxExtrap], MATCH( co_inputInfo[[#This Row],[inputType]], co_modelTypes[inputName], 0 ) ) )</f>
        <v/>
      </c>
      <c r="I318" s="27" t="s">
        <v>310</v>
      </c>
      <c r="J318" s="27">
        <v>1</v>
      </c>
    </row>
    <row r="321" spans="1:21" ht="15" x14ac:dyDescent="0.25">
      <c r="A321" s="16"/>
      <c r="B321" s="17" t="s">
        <v>69</v>
      </c>
      <c r="C321" s="17"/>
      <c r="D321" s="17"/>
      <c r="E321" s="17"/>
      <c r="F321" s="17"/>
      <c r="G321" s="17"/>
      <c r="H321" s="17"/>
      <c r="I321" s="17"/>
      <c r="J321" s="17"/>
      <c r="K321" s="17"/>
      <c r="L321" s="17"/>
      <c r="M321" s="17"/>
      <c r="N321" s="17"/>
      <c r="O321" s="17"/>
      <c r="P321" s="17"/>
      <c r="Q321" s="17"/>
      <c r="R321" s="17"/>
      <c r="S321" s="17"/>
      <c r="T321" s="17"/>
      <c r="U321" s="17"/>
    </row>
    <row r="323" spans="1:21" x14ac:dyDescent="0.2">
      <c r="B323" s="43" t="s">
        <v>123</v>
      </c>
      <c r="C323" s="29" t="s">
        <v>70</v>
      </c>
      <c r="D323" s="30" t="s">
        <v>598</v>
      </c>
      <c r="E323" s="2"/>
    </row>
    <row r="324" spans="1:21" x14ac:dyDescent="0.2">
      <c r="B324" s="4">
        <f xml:space="preserve"> ROW( co_regions[[#This Row],[row_id]] ) - ROW( co_regions[[#Headers],[row_id]] )</f>
        <v>1</v>
      </c>
      <c r="C324" s="44" t="s">
        <v>6</v>
      </c>
      <c r="D324" s="30" t="str">
        <f xml:space="preserve"> SUBSTITUTE( co_regions[[#This Row],[region_label]], " ", "" )</f>
        <v>Midwest</v>
      </c>
      <c r="E324" s="2"/>
    </row>
    <row r="325" spans="1:21" x14ac:dyDescent="0.2">
      <c r="B325" s="4">
        <f xml:space="preserve"> ROW( co_regions[[#This Row],[row_id]] ) - ROW( co_regions[[#Headers],[row_id]] )</f>
        <v>2</v>
      </c>
      <c r="C325" s="44" t="s">
        <v>7</v>
      </c>
      <c r="D325" s="30" t="str">
        <f xml:space="preserve"> SUBSTITUTE( co_regions[[#This Row],[region_label]], " ", "" )</f>
        <v>Northeast</v>
      </c>
      <c r="E325" s="2"/>
    </row>
    <row r="326" spans="1:21" x14ac:dyDescent="0.2">
      <c r="B326" s="4">
        <f xml:space="preserve"> ROW( co_regions[[#This Row],[row_id]] ) - ROW( co_regions[[#Headers],[row_id]] )</f>
        <v>3</v>
      </c>
      <c r="C326" s="44" t="s">
        <v>8</v>
      </c>
      <c r="D326" s="30" t="str">
        <f xml:space="preserve"> SUBSTITUTE( co_regions[[#This Row],[region_label]], " ", "" )</f>
        <v>NorthernPlains</v>
      </c>
      <c r="E326" s="2"/>
    </row>
    <row r="327" spans="1:21" x14ac:dyDescent="0.2">
      <c r="B327" s="4">
        <f xml:space="preserve"> ROW( co_regions[[#This Row],[row_id]] ) - ROW( co_regions[[#Headers],[row_id]] )</f>
        <v>4</v>
      </c>
      <c r="C327" s="44" t="s">
        <v>9</v>
      </c>
      <c r="D327" s="30" t="str">
        <f xml:space="preserve"> SUBSTITUTE( co_regions[[#This Row],[region_label]], " ", "" )</f>
        <v>Northwest</v>
      </c>
      <c r="E327" s="2"/>
    </row>
    <row r="328" spans="1:21" x14ac:dyDescent="0.2">
      <c r="B328" s="4">
        <f xml:space="preserve"> ROW( co_regions[[#This Row],[row_id]] ) - ROW( co_regions[[#Headers],[row_id]] )</f>
        <v>5</v>
      </c>
      <c r="C328" s="44" t="s">
        <v>10</v>
      </c>
      <c r="D328" s="30" t="str">
        <f xml:space="preserve"> SUBSTITUTE( co_regions[[#This Row],[region_label]], " ", "" )</f>
        <v>Southeast</v>
      </c>
      <c r="E328" s="2"/>
    </row>
    <row r="329" spans="1:21" x14ac:dyDescent="0.2">
      <c r="B329" s="4">
        <f xml:space="preserve"> ROW( co_regions[[#This Row],[row_id]] ) - ROW( co_regions[[#Headers],[row_id]] )</f>
        <v>6</v>
      </c>
      <c r="C329" s="44" t="s">
        <v>11</v>
      </c>
      <c r="D329" s="30" t="str">
        <f xml:space="preserve"> SUBSTITUTE( co_regions[[#This Row],[region_label]], " ", "" )</f>
        <v>SouthernPlains</v>
      </c>
      <c r="E329" s="2"/>
    </row>
    <row r="330" spans="1:21" x14ac:dyDescent="0.2">
      <c r="B330" s="4">
        <f xml:space="preserve"> ROW( co_regions[[#This Row],[row_id]] ) - ROW( co_regions[[#Headers],[row_id]] )</f>
        <v>7</v>
      </c>
      <c r="C330" s="44" t="s">
        <v>12</v>
      </c>
      <c r="D330" s="30" t="str">
        <f xml:space="preserve"> SUBSTITUTE( co_regions[[#This Row],[region_label]], " ", "" )</f>
        <v>Southwest</v>
      </c>
      <c r="E330" s="2"/>
    </row>
    <row r="333" spans="1:21" ht="15" x14ac:dyDescent="0.25">
      <c r="A333" s="16"/>
      <c r="B333" s="17" t="s">
        <v>441</v>
      </c>
      <c r="C333" s="17"/>
      <c r="D333" s="17"/>
      <c r="E333" s="17"/>
      <c r="F333" s="17"/>
      <c r="G333" s="17"/>
      <c r="H333" s="17"/>
      <c r="I333" s="17"/>
      <c r="J333" s="17"/>
      <c r="K333" s="17"/>
      <c r="L333" s="17"/>
      <c r="M333" s="17"/>
      <c r="N333" s="17"/>
      <c r="O333" s="17"/>
      <c r="P333" s="17"/>
      <c r="Q333" s="17"/>
      <c r="R333" s="17"/>
      <c r="S333" s="17"/>
      <c r="T333" s="17"/>
      <c r="U333" s="17"/>
    </row>
    <row r="335" spans="1:21" x14ac:dyDescent="0.2">
      <c r="B335" s="2" t="s">
        <v>123</v>
      </c>
      <c r="C335" s="2" t="s">
        <v>442</v>
      </c>
      <c r="D335" s="2" t="s">
        <v>443</v>
      </c>
      <c r="E335" s="2" t="s">
        <v>55</v>
      </c>
      <c r="F335" s="9" t="s">
        <v>444</v>
      </c>
    </row>
    <row r="336" spans="1:21" x14ac:dyDescent="0.2">
      <c r="B336" s="2">
        <f xml:space="preserve"> ROW( co_states[[#This Row],[row_id]] ) - ROW( co_states[[#Headers],[row_id]] )</f>
        <v>1</v>
      </c>
      <c r="C336" s="82" t="s">
        <v>445</v>
      </c>
      <c r="D336" s="82" t="s">
        <v>446</v>
      </c>
      <c r="E336" s="82" t="s">
        <v>10</v>
      </c>
      <c r="F336" s="83">
        <v>1</v>
      </c>
    </row>
    <row r="337" spans="2:6" x14ac:dyDescent="0.2">
      <c r="B337" s="2">
        <f xml:space="preserve"> ROW( co_states[[#This Row],[row_id]] ) - ROW( co_states[[#Headers],[row_id]] )</f>
        <v>2</v>
      </c>
      <c r="C337" s="82" t="s">
        <v>447</v>
      </c>
      <c r="D337" s="82" t="s">
        <v>448</v>
      </c>
      <c r="E337" s="82" t="s">
        <v>12</v>
      </c>
      <c r="F337" s="83">
        <v>4</v>
      </c>
    </row>
    <row r="338" spans="2:6" x14ac:dyDescent="0.2">
      <c r="B338" s="2">
        <f xml:space="preserve"> ROW( co_states[[#This Row],[row_id]] ) - ROW( co_states[[#Headers],[row_id]] )</f>
        <v>3</v>
      </c>
      <c r="C338" s="82" t="s">
        <v>449</v>
      </c>
      <c r="D338" s="82" t="s">
        <v>450</v>
      </c>
      <c r="E338" s="82" t="s">
        <v>10</v>
      </c>
      <c r="F338" s="83">
        <v>5</v>
      </c>
    </row>
    <row r="339" spans="2:6" x14ac:dyDescent="0.2">
      <c r="B339" s="2">
        <f xml:space="preserve"> ROW( co_states[[#This Row],[row_id]] ) - ROW( co_states[[#Headers],[row_id]] )</f>
        <v>4</v>
      </c>
      <c r="C339" s="82" t="s">
        <v>451</v>
      </c>
      <c r="D339" s="82" t="s">
        <v>452</v>
      </c>
      <c r="E339" s="82" t="s">
        <v>12</v>
      </c>
      <c r="F339" s="83">
        <v>6</v>
      </c>
    </row>
    <row r="340" spans="2:6" x14ac:dyDescent="0.2">
      <c r="B340" s="2">
        <f xml:space="preserve"> ROW( co_states[[#This Row],[row_id]] ) - ROW( co_states[[#Headers],[row_id]] )</f>
        <v>5</v>
      </c>
      <c r="C340" s="82" t="s">
        <v>453</v>
      </c>
      <c r="D340" s="82" t="s">
        <v>454</v>
      </c>
      <c r="E340" s="82" t="s">
        <v>12</v>
      </c>
      <c r="F340" s="83">
        <v>8</v>
      </c>
    </row>
    <row r="341" spans="2:6" x14ac:dyDescent="0.2">
      <c r="B341" s="2">
        <f xml:space="preserve"> ROW( co_states[[#This Row],[row_id]] ) - ROW( co_states[[#Headers],[row_id]] )</f>
        <v>6</v>
      </c>
      <c r="C341" s="82" t="s">
        <v>455</v>
      </c>
      <c r="D341" s="82" t="s">
        <v>456</v>
      </c>
      <c r="E341" s="82" t="s">
        <v>7</v>
      </c>
      <c r="F341" s="83">
        <v>9</v>
      </c>
    </row>
    <row r="342" spans="2:6" x14ac:dyDescent="0.2">
      <c r="B342" s="2">
        <f xml:space="preserve"> ROW( co_states[[#This Row],[row_id]] ) - ROW( co_states[[#Headers],[row_id]] )</f>
        <v>7</v>
      </c>
      <c r="C342" s="82" t="s">
        <v>457</v>
      </c>
      <c r="D342" s="82" t="s">
        <v>458</v>
      </c>
      <c r="E342" s="82" t="s">
        <v>7</v>
      </c>
      <c r="F342" s="83">
        <v>10</v>
      </c>
    </row>
    <row r="343" spans="2:6" x14ac:dyDescent="0.2">
      <c r="B343" s="2">
        <f xml:space="preserve"> ROW( co_states[[#This Row],[row_id]] ) - ROW( co_states[[#Headers],[row_id]] )</f>
        <v>8</v>
      </c>
      <c r="C343" s="82" t="s">
        <v>459</v>
      </c>
      <c r="D343" s="82" t="s">
        <v>460</v>
      </c>
      <c r="E343" s="82" t="s">
        <v>7</v>
      </c>
      <c r="F343" s="83">
        <v>11</v>
      </c>
    </row>
    <row r="344" spans="2:6" x14ac:dyDescent="0.2">
      <c r="B344" s="2">
        <f xml:space="preserve"> ROW( co_states[[#This Row],[row_id]] ) - ROW( co_states[[#Headers],[row_id]] )</f>
        <v>9</v>
      </c>
      <c r="C344" s="82" t="s">
        <v>461</v>
      </c>
      <c r="D344" s="82" t="s">
        <v>462</v>
      </c>
      <c r="E344" s="82" t="s">
        <v>10</v>
      </c>
      <c r="F344" s="83">
        <v>12</v>
      </c>
    </row>
    <row r="345" spans="2:6" x14ac:dyDescent="0.2">
      <c r="B345" s="2">
        <f xml:space="preserve"> ROW( co_states[[#This Row],[row_id]] ) - ROW( co_states[[#Headers],[row_id]] )</f>
        <v>10</v>
      </c>
      <c r="C345" s="82" t="s">
        <v>463</v>
      </c>
      <c r="D345" s="82" t="s">
        <v>464</v>
      </c>
      <c r="E345" s="82" t="s">
        <v>10</v>
      </c>
      <c r="F345" s="83">
        <v>13</v>
      </c>
    </row>
    <row r="346" spans="2:6" x14ac:dyDescent="0.2">
      <c r="B346" s="2">
        <f xml:space="preserve"> ROW( co_states[[#This Row],[row_id]] ) - ROW( co_states[[#Headers],[row_id]] )</f>
        <v>11</v>
      </c>
      <c r="C346" s="82" t="s">
        <v>465</v>
      </c>
      <c r="D346" s="82" t="s">
        <v>47</v>
      </c>
      <c r="E346" s="82" t="s">
        <v>9</v>
      </c>
      <c r="F346" s="83">
        <v>16</v>
      </c>
    </row>
    <row r="347" spans="2:6" x14ac:dyDescent="0.2">
      <c r="B347" s="2">
        <f xml:space="preserve"> ROW( co_states[[#This Row],[row_id]] ) - ROW( co_states[[#Headers],[row_id]] )</f>
        <v>12</v>
      </c>
      <c r="C347" s="82" t="s">
        <v>466</v>
      </c>
      <c r="D347" s="82" t="s">
        <v>467</v>
      </c>
      <c r="E347" s="82" t="s">
        <v>6</v>
      </c>
      <c r="F347" s="83">
        <v>17</v>
      </c>
    </row>
    <row r="348" spans="2:6" x14ac:dyDescent="0.2">
      <c r="B348" s="2">
        <f xml:space="preserve"> ROW( co_states[[#This Row],[row_id]] ) - ROW( co_states[[#Headers],[row_id]] )</f>
        <v>13</v>
      </c>
      <c r="C348" s="82" t="s">
        <v>468</v>
      </c>
      <c r="D348" s="82" t="s">
        <v>469</v>
      </c>
      <c r="E348" s="82" t="s">
        <v>6</v>
      </c>
      <c r="F348" s="83">
        <v>18</v>
      </c>
    </row>
    <row r="349" spans="2:6" x14ac:dyDescent="0.2">
      <c r="B349" s="2">
        <f xml:space="preserve"> ROW( co_states[[#This Row],[row_id]] ) - ROW( co_states[[#Headers],[row_id]] )</f>
        <v>14</v>
      </c>
      <c r="C349" s="82" t="s">
        <v>470</v>
      </c>
      <c r="D349" s="82" t="s">
        <v>471</v>
      </c>
      <c r="E349" s="82" t="s">
        <v>6</v>
      </c>
      <c r="F349" s="83">
        <v>19</v>
      </c>
    </row>
    <row r="350" spans="2:6" x14ac:dyDescent="0.2">
      <c r="B350" s="2">
        <f xml:space="preserve"> ROW( co_states[[#This Row],[row_id]] ) - ROW( co_states[[#Headers],[row_id]] )</f>
        <v>15</v>
      </c>
      <c r="C350" s="82" t="s">
        <v>472</v>
      </c>
      <c r="D350" s="82" t="s">
        <v>473</v>
      </c>
      <c r="E350" s="82" t="s">
        <v>11</v>
      </c>
      <c r="F350" s="83">
        <v>20</v>
      </c>
    </row>
    <row r="351" spans="2:6" x14ac:dyDescent="0.2">
      <c r="B351" s="2">
        <f xml:space="preserve"> ROW( co_states[[#This Row],[row_id]] ) - ROW( co_states[[#Headers],[row_id]] )</f>
        <v>16</v>
      </c>
      <c r="C351" s="82" t="s">
        <v>474</v>
      </c>
      <c r="D351" s="82" t="s">
        <v>475</v>
      </c>
      <c r="E351" s="82" t="s">
        <v>10</v>
      </c>
      <c r="F351" s="83">
        <v>21</v>
      </c>
    </row>
    <row r="352" spans="2:6" x14ac:dyDescent="0.2">
      <c r="B352" s="2">
        <f xml:space="preserve"> ROW( co_states[[#This Row],[row_id]] ) - ROW( co_states[[#Headers],[row_id]] )</f>
        <v>17</v>
      </c>
      <c r="C352" s="82" t="s">
        <v>476</v>
      </c>
      <c r="D352" s="82" t="s">
        <v>477</v>
      </c>
      <c r="E352" s="82" t="s">
        <v>10</v>
      </c>
      <c r="F352" s="83">
        <v>22</v>
      </c>
    </row>
    <row r="353" spans="2:6" x14ac:dyDescent="0.2">
      <c r="B353" s="2">
        <f xml:space="preserve"> ROW( co_states[[#This Row],[row_id]] ) - ROW( co_states[[#Headers],[row_id]] )</f>
        <v>18</v>
      </c>
      <c r="C353" s="82" t="s">
        <v>478</v>
      </c>
      <c r="D353" s="82" t="s">
        <v>479</v>
      </c>
      <c r="E353" s="82" t="s">
        <v>7</v>
      </c>
      <c r="F353" s="83">
        <v>23</v>
      </c>
    </row>
    <row r="354" spans="2:6" x14ac:dyDescent="0.2">
      <c r="B354" s="2">
        <f xml:space="preserve"> ROW( co_states[[#This Row],[row_id]] ) - ROW( co_states[[#Headers],[row_id]] )</f>
        <v>19</v>
      </c>
      <c r="C354" s="82" t="s">
        <v>480</v>
      </c>
      <c r="D354" s="82" t="s">
        <v>481</v>
      </c>
      <c r="E354" s="82" t="s">
        <v>7</v>
      </c>
      <c r="F354" s="83">
        <v>24</v>
      </c>
    </row>
    <row r="355" spans="2:6" x14ac:dyDescent="0.2">
      <c r="B355" s="2">
        <f xml:space="preserve"> ROW( co_states[[#This Row],[row_id]] ) - ROW( co_states[[#Headers],[row_id]] )</f>
        <v>20</v>
      </c>
      <c r="C355" s="82" t="s">
        <v>482</v>
      </c>
      <c r="D355" s="82" t="s">
        <v>483</v>
      </c>
      <c r="E355" s="82" t="s">
        <v>7</v>
      </c>
      <c r="F355" s="83">
        <v>25</v>
      </c>
    </row>
    <row r="356" spans="2:6" x14ac:dyDescent="0.2">
      <c r="B356" s="2">
        <f xml:space="preserve"> ROW( co_states[[#This Row],[row_id]] ) - ROW( co_states[[#Headers],[row_id]] )</f>
        <v>21</v>
      </c>
      <c r="C356" s="82" t="s">
        <v>484</v>
      </c>
      <c r="D356" s="82" t="s">
        <v>485</v>
      </c>
      <c r="E356" s="82" t="s">
        <v>6</v>
      </c>
      <c r="F356" s="83">
        <v>26</v>
      </c>
    </row>
    <row r="357" spans="2:6" x14ac:dyDescent="0.2">
      <c r="B357" s="2">
        <f xml:space="preserve"> ROW( co_states[[#This Row],[row_id]] ) - ROW( co_states[[#Headers],[row_id]] )</f>
        <v>22</v>
      </c>
      <c r="C357" s="82" t="s">
        <v>486</v>
      </c>
      <c r="D357" s="82" t="s">
        <v>487</v>
      </c>
      <c r="E357" s="82" t="s">
        <v>6</v>
      </c>
      <c r="F357" s="83">
        <v>27</v>
      </c>
    </row>
    <row r="358" spans="2:6" x14ac:dyDescent="0.2">
      <c r="B358" s="2">
        <f xml:space="preserve"> ROW( co_states[[#This Row],[row_id]] ) - ROW( co_states[[#Headers],[row_id]] )</f>
        <v>23</v>
      </c>
      <c r="C358" s="82" t="s">
        <v>488</v>
      </c>
      <c r="D358" s="82" t="s">
        <v>489</v>
      </c>
      <c r="E358" s="82" t="s">
        <v>10</v>
      </c>
      <c r="F358" s="83">
        <v>28</v>
      </c>
    </row>
    <row r="359" spans="2:6" x14ac:dyDescent="0.2">
      <c r="B359" s="2">
        <f xml:space="preserve"> ROW( co_states[[#This Row],[row_id]] ) - ROW( co_states[[#Headers],[row_id]] )</f>
        <v>24</v>
      </c>
      <c r="C359" s="82" t="s">
        <v>490</v>
      </c>
      <c r="D359" s="82" t="s">
        <v>491</v>
      </c>
      <c r="E359" s="82" t="s">
        <v>6</v>
      </c>
      <c r="F359" s="83">
        <v>29</v>
      </c>
    </row>
    <row r="360" spans="2:6" x14ac:dyDescent="0.2">
      <c r="B360" s="2">
        <f xml:space="preserve"> ROW( co_states[[#This Row],[row_id]] ) - ROW( co_states[[#Headers],[row_id]] )</f>
        <v>25</v>
      </c>
      <c r="C360" s="82" t="s">
        <v>492</v>
      </c>
      <c r="D360" s="82" t="s">
        <v>493</v>
      </c>
      <c r="E360" s="82" t="s">
        <v>8</v>
      </c>
      <c r="F360" s="83">
        <v>30</v>
      </c>
    </row>
    <row r="361" spans="2:6" x14ac:dyDescent="0.2">
      <c r="B361" s="2">
        <f xml:space="preserve"> ROW( co_states[[#This Row],[row_id]] ) - ROW( co_states[[#Headers],[row_id]] )</f>
        <v>26</v>
      </c>
      <c r="C361" s="82" t="s">
        <v>494</v>
      </c>
      <c r="D361" s="82" t="s">
        <v>495</v>
      </c>
      <c r="E361" s="82" t="s">
        <v>8</v>
      </c>
      <c r="F361" s="83">
        <v>31</v>
      </c>
    </row>
    <row r="362" spans="2:6" x14ac:dyDescent="0.2">
      <c r="B362" s="2">
        <f xml:space="preserve"> ROW( co_states[[#This Row],[row_id]] ) - ROW( co_states[[#Headers],[row_id]] )</f>
        <v>27</v>
      </c>
      <c r="C362" s="82" t="s">
        <v>496</v>
      </c>
      <c r="D362" s="82" t="s">
        <v>497</v>
      </c>
      <c r="E362" s="82" t="s">
        <v>12</v>
      </c>
      <c r="F362" s="83">
        <v>32</v>
      </c>
    </row>
    <row r="363" spans="2:6" x14ac:dyDescent="0.2">
      <c r="B363" s="2">
        <f xml:space="preserve"> ROW( co_states[[#This Row],[row_id]] ) - ROW( co_states[[#Headers],[row_id]] )</f>
        <v>28</v>
      </c>
      <c r="C363" s="82" t="s">
        <v>498</v>
      </c>
      <c r="D363" s="82" t="s">
        <v>499</v>
      </c>
      <c r="E363" s="82" t="s">
        <v>7</v>
      </c>
      <c r="F363" s="83">
        <v>33</v>
      </c>
    </row>
    <row r="364" spans="2:6" x14ac:dyDescent="0.2">
      <c r="B364" s="2">
        <f xml:space="preserve"> ROW( co_states[[#This Row],[row_id]] ) - ROW( co_states[[#Headers],[row_id]] )</f>
        <v>29</v>
      </c>
      <c r="C364" s="82" t="s">
        <v>500</v>
      </c>
      <c r="D364" s="82" t="s">
        <v>501</v>
      </c>
      <c r="E364" s="82" t="s">
        <v>7</v>
      </c>
      <c r="F364" s="83">
        <v>34</v>
      </c>
    </row>
    <row r="365" spans="2:6" x14ac:dyDescent="0.2">
      <c r="B365" s="2">
        <f xml:space="preserve"> ROW( co_states[[#This Row],[row_id]] ) - ROW( co_states[[#Headers],[row_id]] )</f>
        <v>30</v>
      </c>
      <c r="C365" s="82" t="s">
        <v>502</v>
      </c>
      <c r="D365" s="82" t="s">
        <v>503</v>
      </c>
      <c r="E365" s="82" t="s">
        <v>12</v>
      </c>
      <c r="F365" s="83">
        <v>35</v>
      </c>
    </row>
    <row r="366" spans="2:6" x14ac:dyDescent="0.2">
      <c r="B366" s="2">
        <f xml:space="preserve"> ROW( co_states[[#This Row],[row_id]] ) - ROW( co_states[[#Headers],[row_id]] )</f>
        <v>31</v>
      </c>
      <c r="C366" s="82" t="s">
        <v>504</v>
      </c>
      <c r="D366" s="82" t="s">
        <v>505</v>
      </c>
      <c r="E366" s="82" t="s">
        <v>7</v>
      </c>
      <c r="F366" s="83">
        <v>36</v>
      </c>
    </row>
    <row r="367" spans="2:6" x14ac:dyDescent="0.2">
      <c r="B367" s="2">
        <f xml:space="preserve"> ROW( co_states[[#This Row],[row_id]] ) - ROW( co_states[[#Headers],[row_id]] )</f>
        <v>32</v>
      </c>
      <c r="C367" s="82" t="s">
        <v>506</v>
      </c>
      <c r="D367" s="82" t="s">
        <v>507</v>
      </c>
      <c r="E367" s="82" t="s">
        <v>10</v>
      </c>
      <c r="F367" s="83">
        <v>37</v>
      </c>
    </row>
    <row r="368" spans="2:6" x14ac:dyDescent="0.2">
      <c r="B368" s="2">
        <f xml:space="preserve"> ROW( co_states[[#This Row],[row_id]] ) - ROW( co_states[[#Headers],[row_id]] )</f>
        <v>33</v>
      </c>
      <c r="C368" s="82" t="s">
        <v>508</v>
      </c>
      <c r="D368" s="82" t="s">
        <v>509</v>
      </c>
      <c r="E368" s="82" t="s">
        <v>8</v>
      </c>
      <c r="F368" s="83">
        <v>38</v>
      </c>
    </row>
    <row r="369" spans="2:6" x14ac:dyDescent="0.2">
      <c r="B369" s="2">
        <f xml:space="preserve"> ROW( co_states[[#This Row],[row_id]] ) - ROW( co_states[[#Headers],[row_id]] )</f>
        <v>34</v>
      </c>
      <c r="C369" s="82" t="s">
        <v>510</v>
      </c>
      <c r="D369" s="82" t="s">
        <v>511</v>
      </c>
      <c r="E369" s="82" t="s">
        <v>6</v>
      </c>
      <c r="F369" s="83">
        <v>39</v>
      </c>
    </row>
    <row r="370" spans="2:6" x14ac:dyDescent="0.2">
      <c r="B370" s="2">
        <f xml:space="preserve"> ROW( co_states[[#This Row],[row_id]] ) - ROW( co_states[[#Headers],[row_id]] )</f>
        <v>35</v>
      </c>
      <c r="C370" s="82" t="s">
        <v>512</v>
      </c>
      <c r="D370" s="82" t="s">
        <v>513</v>
      </c>
      <c r="E370" s="82" t="s">
        <v>11</v>
      </c>
      <c r="F370" s="83">
        <v>40</v>
      </c>
    </row>
    <row r="371" spans="2:6" x14ac:dyDescent="0.2">
      <c r="B371" s="2">
        <f xml:space="preserve"> ROW( co_states[[#This Row],[row_id]] ) - ROW( co_states[[#Headers],[row_id]] )</f>
        <v>36</v>
      </c>
      <c r="C371" s="82" t="s">
        <v>514</v>
      </c>
      <c r="D371" s="82" t="s">
        <v>515</v>
      </c>
      <c r="E371" s="82" t="s">
        <v>9</v>
      </c>
      <c r="F371" s="83">
        <v>41</v>
      </c>
    </row>
    <row r="372" spans="2:6" x14ac:dyDescent="0.2">
      <c r="B372" s="2">
        <f xml:space="preserve"> ROW( co_states[[#This Row],[row_id]] ) - ROW( co_states[[#Headers],[row_id]] )</f>
        <v>37</v>
      </c>
      <c r="C372" s="82" t="s">
        <v>516</v>
      </c>
      <c r="D372" s="82" t="s">
        <v>517</v>
      </c>
      <c r="E372" s="82" t="s">
        <v>7</v>
      </c>
      <c r="F372" s="83">
        <v>42</v>
      </c>
    </row>
    <row r="373" spans="2:6" x14ac:dyDescent="0.2">
      <c r="B373" s="2">
        <f xml:space="preserve"> ROW( co_states[[#This Row],[row_id]] ) - ROW( co_states[[#Headers],[row_id]] )</f>
        <v>38</v>
      </c>
      <c r="C373" s="82" t="s">
        <v>518</v>
      </c>
      <c r="D373" s="82" t="s">
        <v>519</v>
      </c>
      <c r="E373" s="82" t="s">
        <v>7</v>
      </c>
      <c r="F373" s="83">
        <v>44</v>
      </c>
    </row>
    <row r="374" spans="2:6" x14ac:dyDescent="0.2">
      <c r="B374" s="2">
        <f xml:space="preserve"> ROW( co_states[[#This Row],[row_id]] ) - ROW( co_states[[#Headers],[row_id]] )</f>
        <v>39</v>
      </c>
      <c r="C374" s="82" t="s">
        <v>520</v>
      </c>
      <c r="D374" s="82" t="s">
        <v>521</v>
      </c>
      <c r="E374" s="82" t="s">
        <v>10</v>
      </c>
      <c r="F374" s="83">
        <v>45</v>
      </c>
    </row>
    <row r="375" spans="2:6" x14ac:dyDescent="0.2">
      <c r="B375" s="2">
        <f xml:space="preserve"> ROW( co_states[[#This Row],[row_id]] ) - ROW( co_states[[#Headers],[row_id]] )</f>
        <v>40</v>
      </c>
      <c r="C375" s="82" t="s">
        <v>522</v>
      </c>
      <c r="D375" s="82" t="s">
        <v>523</v>
      </c>
      <c r="E375" s="82" t="s">
        <v>8</v>
      </c>
      <c r="F375" s="83">
        <v>46</v>
      </c>
    </row>
    <row r="376" spans="2:6" x14ac:dyDescent="0.2">
      <c r="B376" s="2">
        <f xml:space="preserve"> ROW( co_states[[#This Row],[row_id]] ) - ROW( co_states[[#Headers],[row_id]] )</f>
        <v>41</v>
      </c>
      <c r="C376" s="82" t="s">
        <v>524</v>
      </c>
      <c r="D376" s="82" t="s">
        <v>525</v>
      </c>
      <c r="E376" s="82" t="s">
        <v>10</v>
      </c>
      <c r="F376" s="83">
        <v>47</v>
      </c>
    </row>
    <row r="377" spans="2:6" x14ac:dyDescent="0.2">
      <c r="B377" s="2">
        <f xml:space="preserve"> ROW( co_states[[#This Row],[row_id]] ) - ROW( co_states[[#Headers],[row_id]] )</f>
        <v>42</v>
      </c>
      <c r="C377" s="82" t="s">
        <v>526</v>
      </c>
      <c r="D377" s="82" t="s">
        <v>527</v>
      </c>
      <c r="E377" s="82" t="s">
        <v>11</v>
      </c>
      <c r="F377" s="83">
        <v>48</v>
      </c>
    </row>
    <row r="378" spans="2:6" x14ac:dyDescent="0.2">
      <c r="B378" s="2">
        <f xml:space="preserve"> ROW( co_states[[#This Row],[row_id]] ) - ROW( co_states[[#Headers],[row_id]] )</f>
        <v>43</v>
      </c>
      <c r="C378" s="82" t="s">
        <v>528</v>
      </c>
      <c r="D378" s="82" t="s">
        <v>529</v>
      </c>
      <c r="E378" s="82" t="s">
        <v>12</v>
      </c>
      <c r="F378" s="83">
        <v>49</v>
      </c>
    </row>
    <row r="379" spans="2:6" x14ac:dyDescent="0.2">
      <c r="B379" s="2">
        <f xml:space="preserve"> ROW( co_states[[#This Row],[row_id]] ) - ROW( co_states[[#Headers],[row_id]] )</f>
        <v>44</v>
      </c>
      <c r="C379" s="82" t="s">
        <v>530</v>
      </c>
      <c r="D379" s="82" t="s">
        <v>531</v>
      </c>
      <c r="E379" s="82" t="s">
        <v>7</v>
      </c>
      <c r="F379" s="83">
        <v>50</v>
      </c>
    </row>
    <row r="380" spans="2:6" x14ac:dyDescent="0.2">
      <c r="B380" s="2">
        <f xml:space="preserve"> ROW( co_states[[#This Row],[row_id]] ) - ROW( co_states[[#Headers],[row_id]] )</f>
        <v>45</v>
      </c>
      <c r="C380" s="82" t="s">
        <v>532</v>
      </c>
      <c r="D380" s="82" t="s">
        <v>533</v>
      </c>
      <c r="E380" s="82" t="s">
        <v>10</v>
      </c>
      <c r="F380" s="83">
        <v>51</v>
      </c>
    </row>
    <row r="381" spans="2:6" x14ac:dyDescent="0.2">
      <c r="B381" s="2">
        <f xml:space="preserve"> ROW( co_states[[#This Row],[row_id]] ) - ROW( co_states[[#Headers],[row_id]] )</f>
        <v>46</v>
      </c>
      <c r="C381" s="82" t="s">
        <v>534</v>
      </c>
      <c r="D381" s="82" t="s">
        <v>535</v>
      </c>
      <c r="E381" s="82" t="s">
        <v>9</v>
      </c>
      <c r="F381" s="83">
        <v>53</v>
      </c>
    </row>
    <row r="382" spans="2:6" x14ac:dyDescent="0.2">
      <c r="B382" s="2">
        <f xml:space="preserve"> ROW( co_states[[#This Row],[row_id]] ) - ROW( co_states[[#Headers],[row_id]] )</f>
        <v>47</v>
      </c>
      <c r="C382" s="82" t="s">
        <v>536</v>
      </c>
      <c r="D382" s="82" t="s">
        <v>537</v>
      </c>
      <c r="E382" s="82" t="s">
        <v>7</v>
      </c>
      <c r="F382" s="83">
        <v>54</v>
      </c>
    </row>
    <row r="383" spans="2:6" x14ac:dyDescent="0.2">
      <c r="B383" s="2">
        <f xml:space="preserve"> ROW( co_states[[#This Row],[row_id]] ) - ROW( co_states[[#Headers],[row_id]] )</f>
        <v>48</v>
      </c>
      <c r="C383" s="82" t="s">
        <v>538</v>
      </c>
      <c r="D383" s="82" t="s">
        <v>539</v>
      </c>
      <c r="E383" s="82" t="s">
        <v>6</v>
      </c>
      <c r="F383" s="83">
        <v>55</v>
      </c>
    </row>
    <row r="384" spans="2:6" x14ac:dyDescent="0.2">
      <c r="B384" s="2">
        <f xml:space="preserve"> ROW( co_states[[#This Row],[row_id]] ) - ROW( co_states[[#Headers],[row_id]] )</f>
        <v>49</v>
      </c>
      <c r="C384" s="82" t="s">
        <v>540</v>
      </c>
      <c r="D384" s="82" t="s">
        <v>541</v>
      </c>
      <c r="E384" s="82" t="s">
        <v>8</v>
      </c>
      <c r="F384" s="83">
        <v>56</v>
      </c>
    </row>
  </sheetData>
  <phoneticPr fontId="8" type="noConversion"/>
  <conditionalFormatting sqref="B41 B42:F51">
    <cfRule type="expression" dxfId="3" priority="7">
      <formula xml:space="preserve"> IF( $E41 = 1, 1, 0)</formula>
    </cfRule>
  </conditionalFormatting>
  <conditionalFormatting sqref="B21:F40">
    <cfRule type="expression" dxfId="2" priority="2">
      <formula xml:space="preserve"> IF( $E21 = 1, 1, 0)</formula>
    </cfRule>
  </conditionalFormatting>
  <conditionalFormatting sqref="C41:F41">
    <cfRule type="expression" dxfId="1" priority="1">
      <formula xml:space="preserve"> IF( $E41 = 1, 1, 0)</formula>
    </cfRule>
  </conditionalFormatting>
  <conditionalFormatting sqref="I157:J157">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1" t="s">
        <v>123</v>
      </c>
      <c r="C3" s="61" t="s">
        <v>56</v>
      </c>
      <c r="D3" s="61" t="s">
        <v>345</v>
      </c>
      <c r="E3" s="61" t="s">
        <v>346</v>
      </c>
      <c r="F3" s="61" t="s">
        <v>330</v>
      </c>
    </row>
    <row r="4" spans="2:6" ht="75" x14ac:dyDescent="0.25">
      <c r="B4" s="62">
        <f xml:space="preserve"> ROW( Readme_sectors[[#This Row],[row_id]] ) - ROW( Readme_sectors[[#Headers],[row_id]] )</f>
        <v>1</v>
      </c>
      <c r="C4" s="61" t="s">
        <v>21</v>
      </c>
      <c r="D4" s="61" t="s">
        <v>22</v>
      </c>
      <c r="E4" s="61" t="s">
        <v>119</v>
      </c>
      <c r="F4" s="63" t="s">
        <v>347</v>
      </c>
    </row>
    <row r="5" spans="2:6" ht="45" x14ac:dyDescent="0.25">
      <c r="B5" s="62">
        <f xml:space="preserve"> ROW( Readme_sectors[[#This Row],[row_id]] ) - ROW( Readme_sectors[[#Headers],[row_id]] )</f>
        <v>2</v>
      </c>
      <c r="C5" s="62" t="s">
        <v>58</v>
      </c>
      <c r="D5" s="61" t="s">
        <v>22</v>
      </c>
      <c r="E5" s="61" t="s">
        <v>119</v>
      </c>
      <c r="F5" s="63"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7" t="s">
        <v>398</v>
      </c>
    </row>
    <row r="5" spans="1:5" ht="45" x14ac:dyDescent="0.25">
      <c r="B5" s="4">
        <f xml:space="preserve"> ROW( testDev[[#This Row],[row_id]] ) - ROW(testDev[[#Headers],[row_id]] )</f>
        <v>2</v>
      </c>
      <c r="C5" s="7" t="s">
        <v>175</v>
      </c>
      <c r="D5" s="27" t="s">
        <v>399</v>
      </c>
      <c r="E5" s="47" t="s">
        <v>400</v>
      </c>
    </row>
    <row r="6" spans="1:5" ht="45" x14ac:dyDescent="0.25">
      <c r="B6" s="4">
        <f xml:space="preserve"> ROW( testDev[[#This Row],[row_id]] ) - ROW(testDev[[#Headers],[row_id]] )</f>
        <v>3</v>
      </c>
      <c r="C6" s="7" t="s">
        <v>189</v>
      </c>
      <c r="D6" s="27" t="s">
        <v>397</v>
      </c>
      <c r="E6" s="47" t="s">
        <v>401</v>
      </c>
    </row>
    <row r="7" spans="1:5" x14ac:dyDescent="0.25">
      <c r="B7" s="4">
        <f xml:space="preserve"> ROW( testDev[[#This Row],[row_id]] ) - ROW(testDev[[#Headers],[row_id]] )</f>
        <v>4</v>
      </c>
      <c r="C7" s="7" t="s">
        <v>168</v>
      </c>
      <c r="D7" s="27" t="s">
        <v>402</v>
      </c>
      <c r="E7" s="47" t="s">
        <v>403</v>
      </c>
    </row>
    <row r="8" spans="1:5" x14ac:dyDescent="0.25">
      <c r="B8" s="4">
        <f xml:space="preserve"> ROW( testDev[[#This Row],[row_id]] ) - ROW(testDev[[#Headers],[row_id]] )</f>
        <v>5</v>
      </c>
      <c r="C8" s="7" t="s">
        <v>350</v>
      </c>
      <c r="D8" s="27" t="s">
        <v>402</v>
      </c>
      <c r="E8" s="47" t="s">
        <v>403</v>
      </c>
    </row>
    <row r="9" spans="1:5" ht="22.5" x14ac:dyDescent="0.25">
      <c r="B9" s="4">
        <f xml:space="preserve"> ROW( testDev[[#This Row],[row_id]] ) - ROW(testDev[[#Headers],[row_id]] )</f>
        <v>6</v>
      </c>
      <c r="C9" s="7" t="s">
        <v>377</v>
      </c>
      <c r="D9" s="27" t="s">
        <v>397</v>
      </c>
      <c r="E9" s="47" t="s">
        <v>404</v>
      </c>
    </row>
    <row r="10" spans="1:5" x14ac:dyDescent="0.25">
      <c r="B10" s="4">
        <f xml:space="preserve"> ROW( testDev[[#This Row],[row_id]] ) - ROW(testDev[[#Headers],[row_id]] )</f>
        <v>7</v>
      </c>
      <c r="C10" s="7" t="s">
        <v>176</v>
      </c>
      <c r="D10" s="27" t="s">
        <v>397</v>
      </c>
      <c r="E10" s="47" t="s">
        <v>405</v>
      </c>
    </row>
    <row r="11" spans="1:5" ht="22.5" x14ac:dyDescent="0.25">
      <c r="B11" s="4">
        <f xml:space="preserve"> ROW( testDev[[#This Row],[row_id]] ) - ROW(testDev[[#Headers],[row_id]] )</f>
        <v>8</v>
      </c>
      <c r="C11" s="7" t="s">
        <v>177</v>
      </c>
      <c r="D11" s="27" t="s">
        <v>397</v>
      </c>
      <c r="E11" s="47" t="s">
        <v>406</v>
      </c>
    </row>
    <row r="12" spans="1:5" ht="33.75" x14ac:dyDescent="0.25">
      <c r="B12" s="4">
        <f xml:space="preserve"> ROW( testDev[[#This Row],[row_id]] ) - ROW(testDev[[#Headers],[row_id]] )</f>
        <v>9</v>
      </c>
      <c r="C12" s="7" t="s">
        <v>178</v>
      </c>
      <c r="D12" s="27" t="s">
        <v>399</v>
      </c>
      <c r="E12" s="47" t="s">
        <v>407</v>
      </c>
    </row>
    <row r="13" spans="1:5" x14ac:dyDescent="0.25">
      <c r="B13" s="4">
        <f xml:space="preserve"> ROW( testDev[[#This Row],[row_id]] ) - ROW(testDev[[#Headers],[row_id]] )</f>
        <v>10</v>
      </c>
      <c r="C13" s="7" t="s">
        <v>78</v>
      </c>
      <c r="D13" s="27" t="s">
        <v>402</v>
      </c>
      <c r="E13" s="47" t="s">
        <v>403</v>
      </c>
    </row>
    <row r="14" spans="1:5" x14ac:dyDescent="0.25">
      <c r="B14" s="4">
        <f xml:space="preserve"> ROW( testDev[[#This Row],[row_id]] ) - ROW(testDev[[#Headers],[row_id]] )</f>
        <v>11</v>
      </c>
      <c r="C14" s="7" t="s">
        <v>240</v>
      </c>
      <c r="D14" s="27" t="s">
        <v>399</v>
      </c>
      <c r="E14" s="47" t="s">
        <v>408</v>
      </c>
    </row>
    <row r="15" spans="1:5" ht="22.5" x14ac:dyDescent="0.25">
      <c r="B15" s="4">
        <f xml:space="preserve"> ROW( testDev[[#This Row],[row_id]] ) - ROW(testDev[[#Headers],[row_id]] )</f>
        <v>12</v>
      </c>
      <c r="C15" s="7" t="s">
        <v>199</v>
      </c>
      <c r="D15" s="27" t="s">
        <v>402</v>
      </c>
      <c r="E15" s="47" t="s">
        <v>409</v>
      </c>
    </row>
    <row r="16" spans="1:5" x14ac:dyDescent="0.25">
      <c r="B16" s="4">
        <f xml:space="preserve"> ROW( testDev[[#This Row],[row_id]] ) - ROW(testDev[[#Headers],[row_id]] )</f>
        <v>13</v>
      </c>
      <c r="C16" s="7" t="s">
        <v>241</v>
      </c>
      <c r="D16" s="27" t="s">
        <v>402</v>
      </c>
      <c r="E16" s="47" t="s">
        <v>410</v>
      </c>
    </row>
    <row r="17" spans="2:5" x14ac:dyDescent="0.25">
      <c r="B17" s="4">
        <f xml:space="preserve"> ROW( testDev[[#This Row],[row_id]] ) - ROW(testDev[[#Headers],[row_id]] )</f>
        <v>14</v>
      </c>
      <c r="C17" s="7" t="s">
        <v>327</v>
      </c>
      <c r="D17" s="27" t="s">
        <v>402</v>
      </c>
      <c r="E17" s="47" t="s">
        <v>403</v>
      </c>
    </row>
    <row r="18" spans="2:5" x14ac:dyDescent="0.25">
      <c r="B18" s="4">
        <f xml:space="preserve"> ROW( testDev[[#This Row],[row_id]] ) - ROW(testDev[[#Headers],[row_id]] )</f>
        <v>15</v>
      </c>
      <c r="C18" s="7" t="s">
        <v>326</v>
      </c>
      <c r="D18" s="27" t="s">
        <v>402</v>
      </c>
      <c r="E18" s="47" t="s">
        <v>411</v>
      </c>
    </row>
    <row r="19" spans="2:5" ht="45" x14ac:dyDescent="0.25">
      <c r="B19" s="4">
        <f xml:space="preserve"> ROW( testDev[[#This Row],[row_id]] ) - ROW(testDev[[#Headers],[row_id]] )</f>
        <v>16</v>
      </c>
      <c r="C19" s="7" t="s">
        <v>351</v>
      </c>
      <c r="D19" s="27" t="s">
        <v>399</v>
      </c>
      <c r="E19" s="47" t="s">
        <v>412</v>
      </c>
    </row>
    <row r="20" spans="2:5" x14ac:dyDescent="0.25">
      <c r="B20" s="4">
        <f xml:space="preserve"> ROW( testDev[[#This Row],[row_id]] ) - ROW(testDev[[#Headers],[row_id]] )</f>
        <v>17</v>
      </c>
      <c r="C20" s="7" t="s">
        <v>413</v>
      </c>
      <c r="D20" s="27" t="s">
        <v>397</v>
      </c>
      <c r="E20" s="47" t="s">
        <v>414</v>
      </c>
    </row>
    <row r="21" spans="2:5" ht="22.5" x14ac:dyDescent="0.25">
      <c r="B21" s="4">
        <f xml:space="preserve"> ROW( testDev[[#This Row],[row_id]] ) - ROW(testDev[[#Headers],[row_id]] )</f>
        <v>18</v>
      </c>
      <c r="C21" s="7" t="s">
        <v>415</v>
      </c>
      <c r="D21" s="27" t="s">
        <v>402</v>
      </c>
      <c r="E21" s="47" t="s">
        <v>416</v>
      </c>
    </row>
    <row r="22" spans="2:5" x14ac:dyDescent="0.25">
      <c r="B22" s="4">
        <f xml:space="preserve"> ROW( testDev[[#This Row],[row_id]] ) - ROW(testDev[[#Headers],[row_id]] )</f>
        <v>19</v>
      </c>
      <c r="C22" s="7" t="s">
        <v>417</v>
      </c>
      <c r="D22" s="27" t="s">
        <v>397</v>
      </c>
      <c r="E22" s="47" t="s">
        <v>418</v>
      </c>
    </row>
    <row r="23" spans="2:5" x14ac:dyDescent="0.25">
      <c r="B23" s="4">
        <f xml:space="preserve"> ROW( testDev[[#This Row],[row_id]] ) - ROW(testDev[[#Headers],[row_id]] )</f>
        <v>20</v>
      </c>
      <c r="C23" s="7" t="s">
        <v>419</v>
      </c>
      <c r="D23" s="27" t="s">
        <v>402</v>
      </c>
      <c r="E23" s="47" t="s">
        <v>403</v>
      </c>
    </row>
    <row r="24" spans="2:5" x14ac:dyDescent="0.25">
      <c r="B24" s="4">
        <f xml:space="preserve"> ROW( testDev[[#This Row],[row_id]] ) - ROW(testDev[[#Headers],[row_id]] )</f>
        <v>21</v>
      </c>
      <c r="C24" s="7" t="s">
        <v>420</v>
      </c>
      <c r="D24" s="27" t="s">
        <v>402</v>
      </c>
      <c r="E24" s="47" t="s">
        <v>403</v>
      </c>
    </row>
    <row r="25" spans="2:5" x14ac:dyDescent="0.25">
      <c r="B25" s="4">
        <f xml:space="preserve"> ROW( testDev[[#This Row],[row_id]] ) - ROW(testDev[[#Headers],[row_id]] )</f>
        <v>22</v>
      </c>
      <c r="C25" s="7" t="s">
        <v>421</v>
      </c>
      <c r="D25" s="27" t="s">
        <v>402</v>
      </c>
      <c r="E25" s="47" t="s">
        <v>403</v>
      </c>
    </row>
    <row r="26" spans="2:5" x14ac:dyDescent="0.25">
      <c r="B26" s="4">
        <f xml:space="preserve"> ROW( testDev[[#This Row],[row_id]] ) - ROW(testDev[[#Headers],[row_id]] )</f>
        <v>23</v>
      </c>
      <c r="C26" s="7" t="s">
        <v>422</v>
      </c>
      <c r="D26" s="27" t="s">
        <v>402</v>
      </c>
      <c r="E26" s="47" t="s">
        <v>403</v>
      </c>
    </row>
    <row r="27" spans="2:5" ht="45" x14ac:dyDescent="0.25">
      <c r="B27" s="4">
        <f xml:space="preserve"> ROW( testDev[[#This Row],[row_id]] ) - ROW(testDev[[#Headers],[row_id]] )</f>
        <v>24</v>
      </c>
      <c r="C27" s="7" t="s">
        <v>423</v>
      </c>
      <c r="D27" s="27" t="s">
        <v>399</v>
      </c>
      <c r="E27" s="47" t="s">
        <v>424</v>
      </c>
    </row>
    <row r="28" spans="2:5" ht="22.5" x14ac:dyDescent="0.25">
      <c r="B28" s="4">
        <f xml:space="preserve"> ROW( testDev[[#This Row],[row_id]] ) - ROW(testDev[[#Headers],[row_id]] )</f>
        <v>25</v>
      </c>
      <c r="C28" s="7" t="s">
        <v>425</v>
      </c>
      <c r="D28" s="27" t="s">
        <v>397</v>
      </c>
      <c r="E28" s="47"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5">
        <v>2000</v>
      </c>
      <c r="C2" s="87">
        <v>0</v>
      </c>
      <c r="D2" s="87">
        <v>0</v>
      </c>
      <c r="E2" s="87">
        <v>0</v>
      </c>
      <c r="F2" s="87">
        <v>0</v>
      </c>
      <c r="G2" s="87">
        <v>0</v>
      </c>
      <c r="H2" s="87">
        <v>0</v>
      </c>
      <c r="I2" s="87">
        <v>0</v>
      </c>
    </row>
    <row r="3" spans="1:9" x14ac:dyDescent="0.25">
      <c r="A3" s="1">
        <f xml:space="preserve"> ROW( slr_cm[[#This Row],[row_id]] ) - ROW( slr_cm[[#Headers],[row_id]] )</f>
        <v>2</v>
      </c>
      <c r="B3" s="85">
        <v>2001</v>
      </c>
      <c r="C3" s="87">
        <v>0</v>
      </c>
      <c r="D3" s="87">
        <v>0.3</v>
      </c>
      <c r="E3" s="87">
        <v>0.4</v>
      </c>
      <c r="F3" s="87">
        <v>0.4</v>
      </c>
      <c r="G3" s="87">
        <v>0.5</v>
      </c>
      <c r="H3" s="87">
        <v>0.5</v>
      </c>
      <c r="I3" s="87">
        <v>0.5</v>
      </c>
    </row>
    <row r="4" spans="1:9" x14ac:dyDescent="0.25">
      <c r="A4" s="1">
        <f xml:space="preserve"> ROW( slr_cm[[#This Row],[row_id]] ) - ROW( slr_cm[[#Headers],[row_id]] )</f>
        <v>3</v>
      </c>
      <c r="B4" s="85">
        <v>2002</v>
      </c>
      <c r="C4" s="87">
        <v>0</v>
      </c>
      <c r="D4" s="87">
        <v>0.6</v>
      </c>
      <c r="E4" s="87">
        <v>0.8</v>
      </c>
      <c r="F4" s="87">
        <v>0.8</v>
      </c>
      <c r="G4" s="87">
        <v>1</v>
      </c>
      <c r="H4" s="87">
        <v>1</v>
      </c>
      <c r="I4" s="87">
        <v>1</v>
      </c>
    </row>
    <row r="5" spans="1:9" x14ac:dyDescent="0.25">
      <c r="A5" s="1">
        <f xml:space="preserve"> ROW( slr_cm[[#This Row],[row_id]] ) - ROW( slr_cm[[#Headers],[row_id]] )</f>
        <v>4</v>
      </c>
      <c r="B5" s="85">
        <v>2003</v>
      </c>
      <c r="C5" s="87">
        <v>0</v>
      </c>
      <c r="D5" s="87">
        <v>0.9</v>
      </c>
      <c r="E5" s="87">
        <v>1.2</v>
      </c>
      <c r="F5" s="87">
        <v>1.2</v>
      </c>
      <c r="G5" s="87">
        <v>1.5</v>
      </c>
      <c r="H5" s="87">
        <v>1.5</v>
      </c>
      <c r="I5" s="87">
        <v>1.5</v>
      </c>
    </row>
    <row r="6" spans="1:9" x14ac:dyDescent="0.25">
      <c r="A6" s="1">
        <f xml:space="preserve"> ROW( slr_cm[[#This Row],[row_id]] ) - ROW( slr_cm[[#Headers],[row_id]] )</f>
        <v>5</v>
      </c>
      <c r="B6" s="85">
        <v>2004</v>
      </c>
      <c r="C6" s="87">
        <v>0</v>
      </c>
      <c r="D6" s="87">
        <v>1.2</v>
      </c>
      <c r="E6" s="87">
        <v>1.6</v>
      </c>
      <c r="F6" s="87">
        <v>1.6</v>
      </c>
      <c r="G6" s="87">
        <v>2</v>
      </c>
      <c r="H6" s="87">
        <v>2</v>
      </c>
      <c r="I6" s="87">
        <v>2</v>
      </c>
    </row>
    <row r="7" spans="1:9" x14ac:dyDescent="0.25">
      <c r="A7" s="1">
        <f xml:space="preserve"> ROW( slr_cm[[#This Row],[row_id]] ) - ROW( slr_cm[[#Headers],[row_id]] )</f>
        <v>6</v>
      </c>
      <c r="B7" s="85">
        <v>2005</v>
      </c>
      <c r="C7" s="87">
        <v>0</v>
      </c>
      <c r="D7" s="87">
        <v>1.5</v>
      </c>
      <c r="E7" s="87">
        <v>2</v>
      </c>
      <c r="F7" s="87">
        <v>2</v>
      </c>
      <c r="G7" s="87">
        <v>2.5</v>
      </c>
      <c r="H7" s="87">
        <v>2.5</v>
      </c>
      <c r="I7" s="87">
        <v>2.5</v>
      </c>
    </row>
    <row r="8" spans="1:9" x14ac:dyDescent="0.25">
      <c r="A8" s="1">
        <f xml:space="preserve"> ROW( slr_cm[[#This Row],[row_id]] ) - ROW( slr_cm[[#Headers],[row_id]] )</f>
        <v>7</v>
      </c>
      <c r="B8" s="85">
        <v>2006</v>
      </c>
      <c r="C8" s="87">
        <v>0</v>
      </c>
      <c r="D8" s="87">
        <v>1.8</v>
      </c>
      <c r="E8" s="87">
        <v>2.4</v>
      </c>
      <c r="F8" s="87">
        <v>2.4</v>
      </c>
      <c r="G8" s="87">
        <v>3</v>
      </c>
      <c r="H8" s="87">
        <v>3</v>
      </c>
      <c r="I8" s="87">
        <v>3</v>
      </c>
    </row>
    <row r="9" spans="1:9" x14ac:dyDescent="0.25">
      <c r="A9" s="1">
        <f xml:space="preserve"> ROW( slr_cm[[#This Row],[row_id]] ) - ROW( slr_cm[[#Headers],[row_id]] )</f>
        <v>8</v>
      </c>
      <c r="B9" s="85">
        <v>2007</v>
      </c>
      <c r="C9" s="87">
        <v>0</v>
      </c>
      <c r="D9" s="87">
        <v>2.1</v>
      </c>
      <c r="E9" s="87">
        <v>2.8</v>
      </c>
      <c r="F9" s="87">
        <v>2.8</v>
      </c>
      <c r="G9" s="87">
        <v>3.5</v>
      </c>
      <c r="H9" s="87">
        <v>3.5</v>
      </c>
      <c r="I9" s="87">
        <v>3.5</v>
      </c>
    </row>
    <row r="10" spans="1:9" x14ac:dyDescent="0.25">
      <c r="A10" s="1">
        <f xml:space="preserve"> ROW( slr_cm[[#This Row],[row_id]] ) - ROW( slr_cm[[#Headers],[row_id]] )</f>
        <v>9</v>
      </c>
      <c r="B10" s="85">
        <v>2008</v>
      </c>
      <c r="C10" s="87">
        <v>0</v>
      </c>
      <c r="D10" s="87">
        <v>2.4</v>
      </c>
      <c r="E10" s="87">
        <v>3.2</v>
      </c>
      <c r="F10" s="87">
        <v>3.2</v>
      </c>
      <c r="G10" s="87">
        <v>4</v>
      </c>
      <c r="H10" s="87">
        <v>4</v>
      </c>
      <c r="I10" s="87">
        <v>4</v>
      </c>
    </row>
    <row r="11" spans="1:9" x14ac:dyDescent="0.25">
      <c r="A11" s="1">
        <f xml:space="preserve"> ROW( slr_cm[[#This Row],[row_id]] ) - ROW( slr_cm[[#Headers],[row_id]] )</f>
        <v>10</v>
      </c>
      <c r="B11" s="85">
        <v>2009</v>
      </c>
      <c r="C11" s="87">
        <v>0</v>
      </c>
      <c r="D11" s="87">
        <v>2.7</v>
      </c>
      <c r="E11" s="87">
        <v>3.6</v>
      </c>
      <c r="F11" s="87">
        <v>3.6</v>
      </c>
      <c r="G11" s="87">
        <v>4.5</v>
      </c>
      <c r="H11" s="87">
        <v>4.5</v>
      </c>
      <c r="I11" s="87">
        <v>4.5</v>
      </c>
    </row>
    <row r="12" spans="1:9" x14ac:dyDescent="0.25">
      <c r="A12" s="1">
        <f xml:space="preserve"> ROW( slr_cm[[#This Row],[row_id]] ) - ROW( slr_cm[[#Headers],[row_id]] )</f>
        <v>11</v>
      </c>
      <c r="B12" s="85">
        <v>2010</v>
      </c>
      <c r="C12" s="87">
        <v>0</v>
      </c>
      <c r="D12" s="87">
        <v>3</v>
      </c>
      <c r="E12" s="87">
        <v>4</v>
      </c>
      <c r="F12" s="87">
        <v>4</v>
      </c>
      <c r="G12" s="87">
        <v>5</v>
      </c>
      <c r="H12" s="87">
        <v>5</v>
      </c>
      <c r="I12" s="87">
        <v>5</v>
      </c>
    </row>
    <row r="13" spans="1:9" x14ac:dyDescent="0.25">
      <c r="A13" s="1">
        <f xml:space="preserve"> ROW( slr_cm[[#This Row],[row_id]] ) - ROW( slr_cm[[#Headers],[row_id]] )</f>
        <v>12</v>
      </c>
      <c r="B13" s="85">
        <v>2011</v>
      </c>
      <c r="C13" s="87">
        <v>0</v>
      </c>
      <c r="D13" s="87">
        <v>3.3</v>
      </c>
      <c r="E13" s="87">
        <v>4.4000000000000004</v>
      </c>
      <c r="F13" s="87">
        <v>4.5999999999999996</v>
      </c>
      <c r="G13" s="87">
        <v>5.5</v>
      </c>
      <c r="H13" s="87">
        <v>5.6</v>
      </c>
      <c r="I13" s="87">
        <v>5.6</v>
      </c>
    </row>
    <row r="14" spans="1:9" x14ac:dyDescent="0.25">
      <c r="A14" s="1">
        <f xml:space="preserve"> ROW( slr_cm[[#This Row],[row_id]] ) - ROW( slr_cm[[#Headers],[row_id]] )</f>
        <v>13</v>
      </c>
      <c r="B14" s="85">
        <v>2012</v>
      </c>
      <c r="C14" s="87">
        <v>0</v>
      </c>
      <c r="D14" s="87">
        <v>3.6</v>
      </c>
      <c r="E14" s="87">
        <v>4.8</v>
      </c>
      <c r="F14" s="87">
        <v>5.2</v>
      </c>
      <c r="G14" s="87">
        <v>6</v>
      </c>
      <c r="H14" s="87">
        <v>6.2</v>
      </c>
      <c r="I14" s="87">
        <v>6.2</v>
      </c>
    </row>
    <row r="15" spans="1:9" x14ac:dyDescent="0.25">
      <c r="A15" s="1">
        <f xml:space="preserve"> ROW( slr_cm[[#This Row],[row_id]] ) - ROW( slr_cm[[#Headers],[row_id]] )</f>
        <v>14</v>
      </c>
      <c r="B15" s="85">
        <v>2013</v>
      </c>
      <c r="C15" s="87">
        <v>0</v>
      </c>
      <c r="D15" s="87">
        <v>3.9</v>
      </c>
      <c r="E15" s="87">
        <v>5.2</v>
      </c>
      <c r="F15" s="87">
        <v>5.8</v>
      </c>
      <c r="G15" s="87">
        <v>6.5</v>
      </c>
      <c r="H15" s="87">
        <v>6.8</v>
      </c>
      <c r="I15" s="87">
        <v>6.8</v>
      </c>
    </row>
    <row r="16" spans="1:9" x14ac:dyDescent="0.25">
      <c r="A16" s="1">
        <f xml:space="preserve"> ROW( slr_cm[[#This Row],[row_id]] ) - ROW( slr_cm[[#Headers],[row_id]] )</f>
        <v>15</v>
      </c>
      <c r="B16" s="85">
        <v>2014</v>
      </c>
      <c r="C16" s="87">
        <v>0</v>
      </c>
      <c r="D16" s="87">
        <v>4.2</v>
      </c>
      <c r="E16" s="87">
        <v>5.6</v>
      </c>
      <c r="F16" s="87">
        <v>6.4</v>
      </c>
      <c r="G16" s="87">
        <v>7</v>
      </c>
      <c r="H16" s="87">
        <v>7.4</v>
      </c>
      <c r="I16" s="87">
        <v>7.4</v>
      </c>
    </row>
    <row r="17" spans="1:9" x14ac:dyDescent="0.25">
      <c r="A17" s="1">
        <f xml:space="preserve"> ROW( slr_cm[[#This Row],[row_id]] ) - ROW( slr_cm[[#Headers],[row_id]] )</f>
        <v>16</v>
      </c>
      <c r="B17" s="85">
        <v>2015</v>
      </c>
      <c r="C17" s="87">
        <v>0</v>
      </c>
      <c r="D17" s="87">
        <v>4.5</v>
      </c>
      <c r="E17" s="87">
        <v>6</v>
      </c>
      <c r="F17" s="87">
        <v>7</v>
      </c>
      <c r="G17" s="87">
        <v>7.5</v>
      </c>
      <c r="H17" s="87">
        <v>8</v>
      </c>
      <c r="I17" s="87">
        <v>8</v>
      </c>
    </row>
    <row r="18" spans="1:9" x14ac:dyDescent="0.25">
      <c r="A18" s="1">
        <f xml:space="preserve"> ROW( slr_cm[[#This Row],[row_id]] ) - ROW( slr_cm[[#Headers],[row_id]] )</f>
        <v>17</v>
      </c>
      <c r="B18" s="85">
        <v>2016</v>
      </c>
      <c r="C18" s="87">
        <v>0</v>
      </c>
      <c r="D18" s="87">
        <v>4.8</v>
      </c>
      <c r="E18" s="87">
        <v>6.4</v>
      </c>
      <c r="F18" s="87">
        <v>7.6</v>
      </c>
      <c r="G18" s="87">
        <v>8</v>
      </c>
      <c r="H18" s="87">
        <v>8.6</v>
      </c>
      <c r="I18" s="87">
        <v>8.6</v>
      </c>
    </row>
    <row r="19" spans="1:9" x14ac:dyDescent="0.25">
      <c r="A19" s="1">
        <f xml:space="preserve"> ROW( slr_cm[[#This Row],[row_id]] ) - ROW( slr_cm[[#Headers],[row_id]] )</f>
        <v>18</v>
      </c>
      <c r="B19" s="85">
        <v>2017</v>
      </c>
      <c r="C19" s="87">
        <v>0</v>
      </c>
      <c r="D19" s="87">
        <v>5.0999999999999996</v>
      </c>
      <c r="E19" s="87">
        <v>6.8</v>
      </c>
      <c r="F19" s="87">
        <v>8.1999999999999993</v>
      </c>
      <c r="G19" s="87">
        <v>8.5</v>
      </c>
      <c r="H19" s="87">
        <v>9.1999999999999993</v>
      </c>
      <c r="I19" s="87">
        <v>9.1999999999999993</v>
      </c>
    </row>
    <row r="20" spans="1:9" x14ac:dyDescent="0.25">
      <c r="A20" s="1">
        <f xml:space="preserve"> ROW( slr_cm[[#This Row],[row_id]] ) - ROW( slr_cm[[#Headers],[row_id]] )</f>
        <v>19</v>
      </c>
      <c r="B20" s="85">
        <v>2018</v>
      </c>
      <c r="C20" s="87">
        <v>0</v>
      </c>
      <c r="D20" s="87">
        <v>5.4</v>
      </c>
      <c r="E20" s="87">
        <v>7.2</v>
      </c>
      <c r="F20" s="87">
        <v>8.8000000000000007</v>
      </c>
      <c r="G20" s="87">
        <v>9</v>
      </c>
      <c r="H20" s="87">
        <v>9.8000000000000007</v>
      </c>
      <c r="I20" s="87">
        <v>9.8000000000000007</v>
      </c>
    </row>
    <row r="21" spans="1:9" x14ac:dyDescent="0.25">
      <c r="A21" s="1">
        <f xml:space="preserve"> ROW( slr_cm[[#This Row],[row_id]] ) - ROW( slr_cm[[#Headers],[row_id]] )</f>
        <v>20</v>
      </c>
      <c r="B21" s="85">
        <v>2019</v>
      </c>
      <c r="C21" s="87">
        <v>0</v>
      </c>
      <c r="D21" s="87">
        <v>5.7</v>
      </c>
      <c r="E21" s="87">
        <v>7.6</v>
      </c>
      <c r="F21" s="87">
        <v>9.4</v>
      </c>
      <c r="G21" s="87">
        <v>9.5</v>
      </c>
      <c r="H21" s="87">
        <v>10.4</v>
      </c>
      <c r="I21" s="87">
        <v>10.4</v>
      </c>
    </row>
    <row r="22" spans="1:9" x14ac:dyDescent="0.25">
      <c r="A22" s="1">
        <f xml:space="preserve"> ROW( slr_cm[[#This Row],[row_id]] ) - ROW( slr_cm[[#Headers],[row_id]] )</f>
        <v>21</v>
      </c>
      <c r="B22" s="85">
        <v>2020</v>
      </c>
      <c r="C22" s="87">
        <v>0</v>
      </c>
      <c r="D22" s="87">
        <v>6</v>
      </c>
      <c r="E22" s="87">
        <v>8</v>
      </c>
      <c r="F22" s="87">
        <v>10</v>
      </c>
      <c r="G22" s="87">
        <v>10</v>
      </c>
      <c r="H22" s="87">
        <v>11</v>
      </c>
      <c r="I22" s="87">
        <v>11</v>
      </c>
    </row>
    <row r="23" spans="1:9" x14ac:dyDescent="0.25">
      <c r="A23" s="1">
        <f xml:space="preserve"> ROW( slr_cm[[#This Row],[row_id]] ) - ROW( slr_cm[[#Headers],[row_id]] )</f>
        <v>22</v>
      </c>
      <c r="B23" s="85">
        <v>2021</v>
      </c>
      <c r="C23" s="87">
        <v>0</v>
      </c>
      <c r="D23" s="87">
        <v>6.3</v>
      </c>
      <c r="E23" s="87">
        <v>8.5</v>
      </c>
      <c r="F23" s="87">
        <v>10.6</v>
      </c>
      <c r="G23" s="87">
        <v>10.9</v>
      </c>
      <c r="H23" s="87">
        <v>12</v>
      </c>
      <c r="I23" s="87">
        <v>12.3</v>
      </c>
    </row>
    <row r="24" spans="1:9" x14ac:dyDescent="0.25">
      <c r="A24" s="1">
        <f xml:space="preserve"> ROW( slr_cm[[#This Row],[row_id]] ) - ROW( slr_cm[[#Headers],[row_id]] )</f>
        <v>23</v>
      </c>
      <c r="B24" s="85">
        <v>2022</v>
      </c>
      <c r="C24" s="87">
        <v>0</v>
      </c>
      <c r="D24" s="87">
        <v>6.6</v>
      </c>
      <c r="E24" s="87">
        <v>9</v>
      </c>
      <c r="F24" s="87">
        <v>11.2</v>
      </c>
      <c r="G24" s="87">
        <v>11.8</v>
      </c>
      <c r="H24" s="87">
        <v>13</v>
      </c>
      <c r="I24" s="87">
        <v>13.6</v>
      </c>
    </row>
    <row r="25" spans="1:9" x14ac:dyDescent="0.25">
      <c r="A25" s="1">
        <f xml:space="preserve"> ROW( slr_cm[[#This Row],[row_id]] ) - ROW( slr_cm[[#Headers],[row_id]] )</f>
        <v>24</v>
      </c>
      <c r="B25" s="85">
        <v>2023</v>
      </c>
      <c r="C25" s="87">
        <v>0</v>
      </c>
      <c r="D25" s="87">
        <v>6.9</v>
      </c>
      <c r="E25" s="87">
        <v>9.5</v>
      </c>
      <c r="F25" s="87">
        <v>11.8</v>
      </c>
      <c r="G25" s="87">
        <v>12.7</v>
      </c>
      <c r="H25" s="87">
        <v>14</v>
      </c>
      <c r="I25" s="87">
        <v>14.9</v>
      </c>
    </row>
    <row r="26" spans="1:9" x14ac:dyDescent="0.25">
      <c r="A26" s="1">
        <f xml:space="preserve"> ROW( slr_cm[[#This Row],[row_id]] ) - ROW( slr_cm[[#Headers],[row_id]] )</f>
        <v>25</v>
      </c>
      <c r="B26" s="85">
        <v>2024</v>
      </c>
      <c r="C26" s="87">
        <v>0</v>
      </c>
      <c r="D26" s="87">
        <v>7.2</v>
      </c>
      <c r="E26" s="87">
        <v>10</v>
      </c>
      <c r="F26" s="87">
        <v>12.4</v>
      </c>
      <c r="G26" s="87">
        <v>13.6</v>
      </c>
      <c r="H26" s="87">
        <v>15</v>
      </c>
      <c r="I26" s="87">
        <v>16.2</v>
      </c>
    </row>
    <row r="27" spans="1:9" x14ac:dyDescent="0.25">
      <c r="A27" s="1">
        <f xml:space="preserve"> ROW( slr_cm[[#This Row],[row_id]] ) - ROW( slr_cm[[#Headers],[row_id]] )</f>
        <v>26</v>
      </c>
      <c r="B27" s="85">
        <v>2025</v>
      </c>
      <c r="C27" s="87">
        <v>0</v>
      </c>
      <c r="D27" s="87">
        <v>7.5</v>
      </c>
      <c r="E27" s="87">
        <v>10.5</v>
      </c>
      <c r="F27" s="87">
        <v>13</v>
      </c>
      <c r="G27" s="87">
        <v>14.5</v>
      </c>
      <c r="H27" s="87">
        <v>16</v>
      </c>
      <c r="I27" s="87">
        <v>17.5</v>
      </c>
    </row>
    <row r="28" spans="1:9" x14ac:dyDescent="0.25">
      <c r="A28" s="1">
        <f xml:space="preserve"> ROW( slr_cm[[#This Row],[row_id]] ) - ROW( slr_cm[[#Headers],[row_id]] )</f>
        <v>27</v>
      </c>
      <c r="B28" s="85">
        <v>2026</v>
      </c>
      <c r="C28" s="87">
        <v>0</v>
      </c>
      <c r="D28" s="87">
        <v>7.8</v>
      </c>
      <c r="E28" s="87">
        <v>11</v>
      </c>
      <c r="F28" s="87">
        <v>13.6</v>
      </c>
      <c r="G28" s="87">
        <v>15.4</v>
      </c>
      <c r="H28" s="87">
        <v>17</v>
      </c>
      <c r="I28" s="87">
        <v>18.8</v>
      </c>
    </row>
    <row r="29" spans="1:9" x14ac:dyDescent="0.25">
      <c r="A29" s="1">
        <f xml:space="preserve"> ROW( slr_cm[[#This Row],[row_id]] ) - ROW( slr_cm[[#Headers],[row_id]] )</f>
        <v>28</v>
      </c>
      <c r="B29" s="85">
        <v>2027</v>
      </c>
      <c r="C29" s="87">
        <v>0</v>
      </c>
      <c r="D29" s="87">
        <v>8.1</v>
      </c>
      <c r="E29" s="87">
        <v>11.5</v>
      </c>
      <c r="F29" s="87">
        <v>14.2</v>
      </c>
      <c r="G29" s="87">
        <v>16.3</v>
      </c>
      <c r="H29" s="87">
        <v>18</v>
      </c>
      <c r="I29" s="87">
        <v>20.100000000000001</v>
      </c>
    </row>
    <row r="30" spans="1:9" x14ac:dyDescent="0.25">
      <c r="A30" s="1">
        <f xml:space="preserve"> ROW( slr_cm[[#This Row],[row_id]] ) - ROW( slr_cm[[#Headers],[row_id]] )</f>
        <v>29</v>
      </c>
      <c r="B30" s="85">
        <v>2028</v>
      </c>
      <c r="C30" s="87">
        <v>0</v>
      </c>
      <c r="D30" s="87">
        <v>8.4</v>
      </c>
      <c r="E30" s="87">
        <v>12</v>
      </c>
      <c r="F30" s="87">
        <v>14.8</v>
      </c>
      <c r="G30" s="87">
        <v>17.2</v>
      </c>
      <c r="H30" s="87">
        <v>19</v>
      </c>
      <c r="I30" s="87">
        <v>21.4</v>
      </c>
    </row>
    <row r="31" spans="1:9" x14ac:dyDescent="0.25">
      <c r="A31" s="1">
        <f xml:space="preserve"> ROW( slr_cm[[#This Row],[row_id]] ) - ROW( slr_cm[[#Headers],[row_id]] )</f>
        <v>30</v>
      </c>
      <c r="B31" s="85">
        <v>2029</v>
      </c>
      <c r="C31" s="87">
        <v>0</v>
      </c>
      <c r="D31" s="87">
        <v>8.6999999999999993</v>
      </c>
      <c r="E31" s="87">
        <v>12.5</v>
      </c>
      <c r="F31" s="87">
        <v>15.4</v>
      </c>
      <c r="G31" s="87">
        <v>18.100000000000001</v>
      </c>
      <c r="H31" s="87">
        <v>20</v>
      </c>
      <c r="I31" s="87">
        <v>22.7</v>
      </c>
    </row>
    <row r="32" spans="1:9" x14ac:dyDescent="0.25">
      <c r="A32" s="1">
        <f xml:space="preserve"> ROW( slr_cm[[#This Row],[row_id]] ) - ROW( slr_cm[[#Headers],[row_id]] )</f>
        <v>31</v>
      </c>
      <c r="B32" s="85">
        <v>2030</v>
      </c>
      <c r="C32" s="87">
        <v>0</v>
      </c>
      <c r="D32" s="87">
        <v>9</v>
      </c>
      <c r="E32" s="87">
        <v>13</v>
      </c>
      <c r="F32" s="87">
        <v>16</v>
      </c>
      <c r="G32" s="87">
        <v>19</v>
      </c>
      <c r="H32" s="87">
        <v>21</v>
      </c>
      <c r="I32" s="87">
        <v>24</v>
      </c>
    </row>
    <row r="33" spans="1:9" x14ac:dyDescent="0.25">
      <c r="A33" s="1">
        <f xml:space="preserve"> ROW( slr_cm[[#This Row],[row_id]] ) - ROW( slr_cm[[#Headers],[row_id]] )</f>
        <v>32</v>
      </c>
      <c r="B33" s="85">
        <v>2031</v>
      </c>
      <c r="C33" s="87">
        <v>0</v>
      </c>
      <c r="D33" s="87">
        <v>9.4</v>
      </c>
      <c r="E33" s="87">
        <v>13.5</v>
      </c>
      <c r="F33" s="87">
        <v>16.899999999999999</v>
      </c>
      <c r="G33" s="87">
        <v>20.100000000000001</v>
      </c>
      <c r="H33" s="87">
        <v>22.5</v>
      </c>
      <c r="I33" s="87">
        <v>25.7</v>
      </c>
    </row>
    <row r="34" spans="1:9" x14ac:dyDescent="0.25">
      <c r="A34" s="1">
        <f xml:space="preserve"> ROW( slr_cm[[#This Row],[row_id]] ) - ROW( slr_cm[[#Headers],[row_id]] )</f>
        <v>33</v>
      </c>
      <c r="B34" s="85">
        <v>2032</v>
      </c>
      <c r="C34" s="87">
        <v>0</v>
      </c>
      <c r="D34" s="87">
        <v>9.8000000000000007</v>
      </c>
      <c r="E34" s="87">
        <v>14</v>
      </c>
      <c r="F34" s="87">
        <v>17.8</v>
      </c>
      <c r="G34" s="87">
        <v>21.2</v>
      </c>
      <c r="H34" s="87">
        <v>24</v>
      </c>
      <c r="I34" s="87">
        <v>27.4</v>
      </c>
    </row>
    <row r="35" spans="1:9" x14ac:dyDescent="0.25">
      <c r="A35" s="1">
        <f xml:space="preserve"> ROW( slr_cm[[#This Row],[row_id]] ) - ROW( slr_cm[[#Headers],[row_id]] )</f>
        <v>34</v>
      </c>
      <c r="B35" s="85">
        <v>2033</v>
      </c>
      <c r="C35" s="87">
        <v>0</v>
      </c>
      <c r="D35" s="87">
        <v>10.199999999999999</v>
      </c>
      <c r="E35" s="87">
        <v>14.5</v>
      </c>
      <c r="F35" s="87">
        <v>18.7</v>
      </c>
      <c r="G35" s="87">
        <v>22.3</v>
      </c>
      <c r="H35" s="87">
        <v>25.5</v>
      </c>
      <c r="I35" s="87">
        <v>29.1</v>
      </c>
    </row>
    <row r="36" spans="1:9" x14ac:dyDescent="0.25">
      <c r="A36" s="1">
        <f xml:space="preserve"> ROW( slr_cm[[#This Row],[row_id]] ) - ROW( slr_cm[[#Headers],[row_id]] )</f>
        <v>35</v>
      </c>
      <c r="B36" s="85">
        <v>2034</v>
      </c>
      <c r="C36" s="87">
        <v>0</v>
      </c>
      <c r="D36" s="87">
        <v>10.6</v>
      </c>
      <c r="E36" s="87">
        <v>15</v>
      </c>
      <c r="F36" s="87">
        <v>19.600000000000001</v>
      </c>
      <c r="G36" s="87">
        <v>23.4</v>
      </c>
      <c r="H36" s="87">
        <v>27</v>
      </c>
      <c r="I36" s="87">
        <v>30.8</v>
      </c>
    </row>
    <row r="37" spans="1:9" x14ac:dyDescent="0.25">
      <c r="A37" s="1">
        <f xml:space="preserve"> ROW( slr_cm[[#This Row],[row_id]] ) - ROW( slr_cm[[#Headers],[row_id]] )</f>
        <v>36</v>
      </c>
      <c r="B37" s="85">
        <v>2035</v>
      </c>
      <c r="C37" s="87">
        <v>0</v>
      </c>
      <c r="D37" s="87">
        <v>11</v>
      </c>
      <c r="E37" s="87">
        <v>15.5</v>
      </c>
      <c r="F37" s="87">
        <v>20.5</v>
      </c>
      <c r="G37" s="87">
        <v>24.5</v>
      </c>
      <c r="H37" s="87">
        <v>28.5</v>
      </c>
      <c r="I37" s="87">
        <v>32.5</v>
      </c>
    </row>
    <row r="38" spans="1:9" x14ac:dyDescent="0.25">
      <c r="A38" s="1">
        <f xml:space="preserve"> ROW( slr_cm[[#This Row],[row_id]] ) - ROW( slr_cm[[#Headers],[row_id]] )</f>
        <v>37</v>
      </c>
      <c r="B38" s="85">
        <v>2036</v>
      </c>
      <c r="C38" s="87">
        <v>0</v>
      </c>
      <c r="D38" s="87">
        <v>11.4</v>
      </c>
      <c r="E38" s="87">
        <v>16</v>
      </c>
      <c r="F38" s="87">
        <v>21.4</v>
      </c>
      <c r="G38" s="87">
        <v>25.6</v>
      </c>
      <c r="H38" s="87">
        <v>30</v>
      </c>
      <c r="I38" s="87">
        <v>34.200000000000003</v>
      </c>
    </row>
    <row r="39" spans="1:9" x14ac:dyDescent="0.25">
      <c r="A39" s="1">
        <f xml:space="preserve"> ROW( slr_cm[[#This Row],[row_id]] ) - ROW( slr_cm[[#Headers],[row_id]] )</f>
        <v>38</v>
      </c>
      <c r="B39" s="85">
        <v>2037</v>
      </c>
      <c r="C39" s="87">
        <v>0</v>
      </c>
      <c r="D39" s="87">
        <v>11.8</v>
      </c>
      <c r="E39" s="87">
        <v>16.5</v>
      </c>
      <c r="F39" s="87">
        <v>22.3</v>
      </c>
      <c r="G39" s="87">
        <v>26.7</v>
      </c>
      <c r="H39" s="87">
        <v>31.5</v>
      </c>
      <c r="I39" s="87">
        <v>35.9</v>
      </c>
    </row>
    <row r="40" spans="1:9" x14ac:dyDescent="0.25">
      <c r="A40" s="1">
        <f xml:space="preserve"> ROW( slr_cm[[#This Row],[row_id]] ) - ROW( slr_cm[[#Headers],[row_id]] )</f>
        <v>39</v>
      </c>
      <c r="B40" s="85">
        <v>2038</v>
      </c>
      <c r="C40" s="87">
        <v>0</v>
      </c>
      <c r="D40" s="87">
        <v>12.2</v>
      </c>
      <c r="E40" s="87">
        <v>17</v>
      </c>
      <c r="F40" s="87">
        <v>23.2</v>
      </c>
      <c r="G40" s="87">
        <v>27.8</v>
      </c>
      <c r="H40" s="87">
        <v>33</v>
      </c>
      <c r="I40" s="87">
        <v>37.6</v>
      </c>
    </row>
    <row r="41" spans="1:9" x14ac:dyDescent="0.25">
      <c r="A41" s="1">
        <f xml:space="preserve"> ROW( slr_cm[[#This Row],[row_id]] ) - ROW( slr_cm[[#Headers],[row_id]] )</f>
        <v>40</v>
      </c>
      <c r="B41" s="85">
        <v>2039</v>
      </c>
      <c r="C41" s="87">
        <v>0</v>
      </c>
      <c r="D41" s="87">
        <v>12.6</v>
      </c>
      <c r="E41" s="87">
        <v>17.5</v>
      </c>
      <c r="F41" s="87">
        <v>24.1</v>
      </c>
      <c r="G41" s="87">
        <v>28.9</v>
      </c>
      <c r="H41" s="87">
        <v>34.5</v>
      </c>
      <c r="I41" s="87">
        <v>39.299999999999997</v>
      </c>
    </row>
    <row r="42" spans="1:9" x14ac:dyDescent="0.25">
      <c r="A42" s="1">
        <f xml:space="preserve"> ROW( slr_cm[[#This Row],[row_id]] ) - ROW( slr_cm[[#Headers],[row_id]] )</f>
        <v>41</v>
      </c>
      <c r="B42" s="85">
        <v>2040</v>
      </c>
      <c r="C42" s="87">
        <v>0</v>
      </c>
      <c r="D42" s="87">
        <v>13</v>
      </c>
      <c r="E42" s="87">
        <v>18</v>
      </c>
      <c r="F42" s="87">
        <v>25</v>
      </c>
      <c r="G42" s="87">
        <v>30</v>
      </c>
      <c r="H42" s="87">
        <v>36</v>
      </c>
      <c r="I42" s="87">
        <v>41</v>
      </c>
    </row>
    <row r="43" spans="1:9" x14ac:dyDescent="0.25">
      <c r="A43" s="1">
        <f xml:space="preserve"> ROW( slr_cm[[#This Row],[row_id]] ) - ROW( slr_cm[[#Headers],[row_id]] )</f>
        <v>42</v>
      </c>
      <c r="B43" s="85">
        <v>2041</v>
      </c>
      <c r="C43" s="87">
        <v>0</v>
      </c>
      <c r="D43" s="87">
        <v>13.3</v>
      </c>
      <c r="E43" s="87">
        <v>18.600000000000001</v>
      </c>
      <c r="F43" s="87">
        <v>25.9</v>
      </c>
      <c r="G43" s="87">
        <v>31.4</v>
      </c>
      <c r="H43" s="87">
        <v>37.799999999999997</v>
      </c>
      <c r="I43" s="87">
        <v>43.2</v>
      </c>
    </row>
    <row r="44" spans="1:9" x14ac:dyDescent="0.25">
      <c r="A44" s="1">
        <f xml:space="preserve"> ROW( slr_cm[[#This Row],[row_id]] ) - ROW( slr_cm[[#Headers],[row_id]] )</f>
        <v>43</v>
      </c>
      <c r="B44" s="85">
        <v>2042</v>
      </c>
      <c r="C44" s="87">
        <v>0</v>
      </c>
      <c r="D44" s="87">
        <v>13.6</v>
      </c>
      <c r="E44" s="87">
        <v>19.2</v>
      </c>
      <c r="F44" s="87">
        <v>26.8</v>
      </c>
      <c r="G44" s="87">
        <v>32.799999999999997</v>
      </c>
      <c r="H44" s="87">
        <v>39.6</v>
      </c>
      <c r="I44" s="87">
        <v>45.4</v>
      </c>
    </row>
    <row r="45" spans="1:9" x14ac:dyDescent="0.25">
      <c r="A45" s="1">
        <f xml:space="preserve"> ROW( slr_cm[[#This Row],[row_id]] ) - ROW( slr_cm[[#Headers],[row_id]] )</f>
        <v>44</v>
      </c>
      <c r="B45" s="85">
        <v>2043</v>
      </c>
      <c r="C45" s="87">
        <v>0</v>
      </c>
      <c r="D45" s="87">
        <v>13.9</v>
      </c>
      <c r="E45" s="87">
        <v>19.8</v>
      </c>
      <c r="F45" s="87">
        <v>27.7</v>
      </c>
      <c r="G45" s="87">
        <v>34.200000000000003</v>
      </c>
      <c r="H45" s="87">
        <v>41.4</v>
      </c>
      <c r="I45" s="87">
        <v>47.6</v>
      </c>
    </row>
    <row r="46" spans="1:9" x14ac:dyDescent="0.25">
      <c r="A46" s="1">
        <f xml:space="preserve"> ROW( slr_cm[[#This Row],[row_id]] ) - ROW( slr_cm[[#Headers],[row_id]] )</f>
        <v>45</v>
      </c>
      <c r="B46" s="85">
        <v>2044</v>
      </c>
      <c r="C46" s="87">
        <v>0</v>
      </c>
      <c r="D46" s="87">
        <v>14.2</v>
      </c>
      <c r="E46" s="87">
        <v>20.399999999999999</v>
      </c>
      <c r="F46" s="87">
        <v>28.6</v>
      </c>
      <c r="G46" s="87">
        <v>35.6</v>
      </c>
      <c r="H46" s="87">
        <v>43.2</v>
      </c>
      <c r="I46" s="87">
        <v>49.8</v>
      </c>
    </row>
    <row r="47" spans="1:9" x14ac:dyDescent="0.25">
      <c r="A47" s="1">
        <f xml:space="preserve"> ROW( slr_cm[[#This Row],[row_id]] ) - ROW( slr_cm[[#Headers],[row_id]] )</f>
        <v>46</v>
      </c>
      <c r="B47" s="85">
        <v>2045</v>
      </c>
      <c r="C47" s="87">
        <v>0</v>
      </c>
      <c r="D47" s="87">
        <v>14.5</v>
      </c>
      <c r="E47" s="87">
        <v>21</v>
      </c>
      <c r="F47" s="87">
        <v>29.5</v>
      </c>
      <c r="G47" s="87">
        <v>37</v>
      </c>
      <c r="H47" s="87">
        <v>45</v>
      </c>
      <c r="I47" s="87">
        <v>52</v>
      </c>
    </row>
    <row r="48" spans="1:9" x14ac:dyDescent="0.25">
      <c r="A48" s="1">
        <f xml:space="preserve"> ROW( slr_cm[[#This Row],[row_id]] ) - ROW( slr_cm[[#Headers],[row_id]] )</f>
        <v>47</v>
      </c>
      <c r="B48" s="85">
        <v>2046</v>
      </c>
      <c r="C48" s="87">
        <v>0</v>
      </c>
      <c r="D48" s="87">
        <v>14.8</v>
      </c>
      <c r="E48" s="87">
        <v>21.6</v>
      </c>
      <c r="F48" s="87">
        <v>30.4</v>
      </c>
      <c r="G48" s="87">
        <v>38.4</v>
      </c>
      <c r="H48" s="87">
        <v>46.8</v>
      </c>
      <c r="I48" s="87">
        <v>54.2</v>
      </c>
    </row>
    <row r="49" spans="1:9" x14ac:dyDescent="0.25">
      <c r="A49" s="1">
        <f xml:space="preserve"> ROW( slr_cm[[#This Row],[row_id]] ) - ROW( slr_cm[[#Headers],[row_id]] )</f>
        <v>48</v>
      </c>
      <c r="B49" s="85">
        <v>2047</v>
      </c>
      <c r="C49" s="87">
        <v>0</v>
      </c>
      <c r="D49" s="87">
        <v>15.1</v>
      </c>
      <c r="E49" s="87">
        <v>22.2</v>
      </c>
      <c r="F49" s="87">
        <v>31.3</v>
      </c>
      <c r="G49" s="87">
        <v>39.799999999999997</v>
      </c>
      <c r="H49" s="87">
        <v>48.6</v>
      </c>
      <c r="I49" s="87">
        <v>56.4</v>
      </c>
    </row>
    <row r="50" spans="1:9" x14ac:dyDescent="0.25">
      <c r="A50" s="1">
        <f xml:space="preserve"> ROW( slr_cm[[#This Row],[row_id]] ) - ROW( slr_cm[[#Headers],[row_id]] )</f>
        <v>49</v>
      </c>
      <c r="B50" s="85">
        <v>2048</v>
      </c>
      <c r="C50" s="87">
        <v>0</v>
      </c>
      <c r="D50" s="87">
        <v>15.4</v>
      </c>
      <c r="E50" s="87">
        <v>22.8</v>
      </c>
      <c r="F50" s="87">
        <v>32.200000000000003</v>
      </c>
      <c r="G50" s="87">
        <v>41.2</v>
      </c>
      <c r="H50" s="87">
        <v>50.4</v>
      </c>
      <c r="I50" s="87">
        <v>58.6</v>
      </c>
    </row>
    <row r="51" spans="1:9" x14ac:dyDescent="0.25">
      <c r="A51" s="1">
        <f xml:space="preserve"> ROW( slr_cm[[#This Row],[row_id]] ) - ROW( slr_cm[[#Headers],[row_id]] )</f>
        <v>50</v>
      </c>
      <c r="B51" s="85">
        <v>2049</v>
      </c>
      <c r="C51" s="87">
        <v>0</v>
      </c>
      <c r="D51" s="87">
        <v>15.7</v>
      </c>
      <c r="E51" s="87">
        <v>23.4</v>
      </c>
      <c r="F51" s="87">
        <v>33.1</v>
      </c>
      <c r="G51" s="87">
        <v>42.6</v>
      </c>
      <c r="H51" s="87">
        <v>52.2</v>
      </c>
      <c r="I51" s="87">
        <v>60.8</v>
      </c>
    </row>
    <row r="52" spans="1:9" x14ac:dyDescent="0.25">
      <c r="A52" s="1">
        <f xml:space="preserve"> ROW( slr_cm[[#This Row],[row_id]] ) - ROW( slr_cm[[#Headers],[row_id]] )</f>
        <v>51</v>
      </c>
      <c r="B52" s="85">
        <v>2050</v>
      </c>
      <c r="C52" s="87">
        <v>0</v>
      </c>
      <c r="D52" s="87">
        <v>16</v>
      </c>
      <c r="E52" s="87">
        <v>24</v>
      </c>
      <c r="F52" s="87">
        <v>34</v>
      </c>
      <c r="G52" s="87">
        <v>44</v>
      </c>
      <c r="H52" s="87">
        <v>54</v>
      </c>
      <c r="I52" s="87">
        <v>63</v>
      </c>
    </row>
    <row r="53" spans="1:9" x14ac:dyDescent="0.25">
      <c r="A53" s="1">
        <f xml:space="preserve"> ROW( slr_cm[[#This Row],[row_id]] ) - ROW( slr_cm[[#Headers],[row_id]] )</f>
        <v>52</v>
      </c>
      <c r="B53" s="85">
        <v>2051</v>
      </c>
      <c r="C53" s="87">
        <v>0</v>
      </c>
      <c r="D53" s="87">
        <v>16.3</v>
      </c>
      <c r="E53" s="87">
        <v>24.5</v>
      </c>
      <c r="F53" s="87">
        <v>35.1</v>
      </c>
      <c r="G53" s="87">
        <v>45.6</v>
      </c>
      <c r="H53" s="87">
        <v>56.3</v>
      </c>
      <c r="I53" s="87">
        <v>65.7</v>
      </c>
    </row>
    <row r="54" spans="1:9" x14ac:dyDescent="0.25">
      <c r="A54" s="1">
        <f xml:space="preserve"> ROW( slr_cm[[#This Row],[row_id]] ) - ROW( slr_cm[[#Headers],[row_id]] )</f>
        <v>53</v>
      </c>
      <c r="B54" s="85">
        <v>2052</v>
      </c>
      <c r="C54" s="87">
        <v>0</v>
      </c>
      <c r="D54" s="87">
        <v>16.600000000000001</v>
      </c>
      <c r="E54" s="87">
        <v>25</v>
      </c>
      <c r="F54" s="87">
        <v>36.200000000000003</v>
      </c>
      <c r="G54" s="87">
        <v>47.2</v>
      </c>
      <c r="H54" s="87">
        <v>58.6</v>
      </c>
      <c r="I54" s="87">
        <v>68.400000000000006</v>
      </c>
    </row>
    <row r="55" spans="1:9" x14ac:dyDescent="0.25">
      <c r="A55" s="1">
        <f xml:space="preserve"> ROW( slr_cm[[#This Row],[row_id]] ) - ROW( slr_cm[[#Headers],[row_id]] )</f>
        <v>54</v>
      </c>
      <c r="B55" s="85">
        <v>2053</v>
      </c>
      <c r="C55" s="87">
        <v>0</v>
      </c>
      <c r="D55" s="87">
        <v>16.899999999999999</v>
      </c>
      <c r="E55" s="87">
        <v>25.5</v>
      </c>
      <c r="F55" s="87">
        <v>37.299999999999997</v>
      </c>
      <c r="G55" s="87">
        <v>48.8</v>
      </c>
      <c r="H55" s="87">
        <v>60.9</v>
      </c>
      <c r="I55" s="87">
        <v>71.099999999999994</v>
      </c>
    </row>
    <row r="56" spans="1:9" x14ac:dyDescent="0.25">
      <c r="A56" s="1">
        <f xml:space="preserve"> ROW( slr_cm[[#This Row],[row_id]] ) - ROW( slr_cm[[#Headers],[row_id]] )</f>
        <v>55</v>
      </c>
      <c r="B56" s="85">
        <v>2054</v>
      </c>
      <c r="C56" s="87">
        <v>0</v>
      </c>
      <c r="D56" s="87">
        <v>17.2</v>
      </c>
      <c r="E56" s="87">
        <v>26</v>
      </c>
      <c r="F56" s="87">
        <v>38.4</v>
      </c>
      <c r="G56" s="87">
        <v>50.4</v>
      </c>
      <c r="H56" s="87">
        <v>63.2</v>
      </c>
      <c r="I56" s="87">
        <v>73.8</v>
      </c>
    </row>
    <row r="57" spans="1:9" x14ac:dyDescent="0.25">
      <c r="A57" s="1">
        <f xml:space="preserve"> ROW( slr_cm[[#This Row],[row_id]] ) - ROW( slr_cm[[#Headers],[row_id]] )</f>
        <v>56</v>
      </c>
      <c r="B57" s="85">
        <v>2055</v>
      </c>
      <c r="C57" s="87">
        <v>0</v>
      </c>
      <c r="D57" s="87">
        <v>17.5</v>
      </c>
      <c r="E57" s="87">
        <v>26.5</v>
      </c>
      <c r="F57" s="87">
        <v>39.5</v>
      </c>
      <c r="G57" s="87">
        <v>52</v>
      </c>
      <c r="H57" s="87">
        <v>65.5</v>
      </c>
      <c r="I57" s="87">
        <v>76.5</v>
      </c>
    </row>
    <row r="58" spans="1:9" x14ac:dyDescent="0.25">
      <c r="A58" s="1">
        <f xml:space="preserve"> ROW( slr_cm[[#This Row],[row_id]] ) - ROW( slr_cm[[#Headers],[row_id]] )</f>
        <v>57</v>
      </c>
      <c r="B58" s="85">
        <v>2056</v>
      </c>
      <c r="C58" s="87">
        <v>0</v>
      </c>
      <c r="D58" s="87">
        <v>17.8</v>
      </c>
      <c r="E58" s="87">
        <v>27</v>
      </c>
      <c r="F58" s="87">
        <v>40.6</v>
      </c>
      <c r="G58" s="87">
        <v>53.6</v>
      </c>
      <c r="H58" s="87">
        <v>67.8</v>
      </c>
      <c r="I58" s="87">
        <v>79.2</v>
      </c>
    </row>
    <row r="59" spans="1:9" x14ac:dyDescent="0.25">
      <c r="A59" s="1">
        <f xml:space="preserve"> ROW( slr_cm[[#This Row],[row_id]] ) - ROW( slr_cm[[#Headers],[row_id]] )</f>
        <v>58</v>
      </c>
      <c r="B59" s="85">
        <v>2057</v>
      </c>
      <c r="C59" s="87">
        <v>0</v>
      </c>
      <c r="D59" s="87">
        <v>18.100000000000001</v>
      </c>
      <c r="E59" s="87">
        <v>27.5</v>
      </c>
      <c r="F59" s="87">
        <v>41.7</v>
      </c>
      <c r="G59" s="87">
        <v>55.2</v>
      </c>
      <c r="H59" s="87">
        <v>70.099999999999994</v>
      </c>
      <c r="I59" s="87">
        <v>81.900000000000006</v>
      </c>
    </row>
    <row r="60" spans="1:9" x14ac:dyDescent="0.25">
      <c r="A60" s="1">
        <f xml:space="preserve"> ROW( slr_cm[[#This Row],[row_id]] ) - ROW( slr_cm[[#Headers],[row_id]] )</f>
        <v>59</v>
      </c>
      <c r="B60" s="85">
        <v>2058</v>
      </c>
      <c r="C60" s="87">
        <v>0</v>
      </c>
      <c r="D60" s="87">
        <v>18.399999999999999</v>
      </c>
      <c r="E60" s="87">
        <v>28</v>
      </c>
      <c r="F60" s="87">
        <v>42.8</v>
      </c>
      <c r="G60" s="87">
        <v>56.8</v>
      </c>
      <c r="H60" s="87">
        <v>72.400000000000006</v>
      </c>
      <c r="I60" s="87">
        <v>84.6</v>
      </c>
    </row>
    <row r="61" spans="1:9" x14ac:dyDescent="0.25">
      <c r="A61" s="1">
        <f xml:space="preserve"> ROW( slr_cm[[#This Row],[row_id]] ) - ROW( slr_cm[[#Headers],[row_id]] )</f>
        <v>60</v>
      </c>
      <c r="B61" s="85">
        <v>2059</v>
      </c>
      <c r="C61" s="87">
        <v>0</v>
      </c>
      <c r="D61" s="87">
        <v>18.7</v>
      </c>
      <c r="E61" s="87">
        <v>28.5</v>
      </c>
      <c r="F61" s="87">
        <v>43.9</v>
      </c>
      <c r="G61" s="87">
        <v>58.4</v>
      </c>
      <c r="H61" s="87">
        <v>74.7</v>
      </c>
      <c r="I61" s="87">
        <v>87.3</v>
      </c>
    </row>
    <row r="62" spans="1:9" x14ac:dyDescent="0.25">
      <c r="A62" s="1">
        <f xml:space="preserve"> ROW( slr_cm[[#This Row],[row_id]] ) - ROW( slr_cm[[#Headers],[row_id]] )</f>
        <v>61</v>
      </c>
      <c r="B62" s="85">
        <v>2060</v>
      </c>
      <c r="C62" s="87">
        <v>0</v>
      </c>
      <c r="D62" s="87">
        <v>19</v>
      </c>
      <c r="E62" s="87">
        <v>29</v>
      </c>
      <c r="F62" s="87">
        <v>45</v>
      </c>
      <c r="G62" s="87">
        <v>60</v>
      </c>
      <c r="H62" s="87">
        <v>77</v>
      </c>
      <c r="I62" s="87">
        <v>90</v>
      </c>
    </row>
    <row r="63" spans="1:9" x14ac:dyDescent="0.25">
      <c r="A63" s="1">
        <f xml:space="preserve"> ROW( slr_cm[[#This Row],[row_id]] ) - ROW( slr_cm[[#Headers],[row_id]] )</f>
        <v>62</v>
      </c>
      <c r="B63" s="85">
        <v>2061</v>
      </c>
      <c r="C63" s="87">
        <v>0</v>
      </c>
      <c r="D63" s="87">
        <v>19.3</v>
      </c>
      <c r="E63" s="87">
        <v>29.6</v>
      </c>
      <c r="F63" s="87">
        <v>46.2</v>
      </c>
      <c r="G63" s="87">
        <v>61.9</v>
      </c>
      <c r="H63" s="87">
        <v>79.3</v>
      </c>
      <c r="I63" s="87">
        <v>93</v>
      </c>
    </row>
    <row r="64" spans="1:9" x14ac:dyDescent="0.25">
      <c r="A64" s="1">
        <f xml:space="preserve"> ROW( slr_cm[[#This Row],[row_id]] ) - ROW( slr_cm[[#Headers],[row_id]] )</f>
        <v>63</v>
      </c>
      <c r="B64" s="85">
        <v>2062</v>
      </c>
      <c r="C64" s="87">
        <v>0</v>
      </c>
      <c r="D64" s="87">
        <v>19.600000000000001</v>
      </c>
      <c r="E64" s="87">
        <v>30.2</v>
      </c>
      <c r="F64" s="87">
        <v>47.4</v>
      </c>
      <c r="G64" s="87">
        <v>63.8</v>
      </c>
      <c r="H64" s="87">
        <v>81.599999999999994</v>
      </c>
      <c r="I64" s="87">
        <v>96</v>
      </c>
    </row>
    <row r="65" spans="1:9" x14ac:dyDescent="0.25">
      <c r="A65" s="1">
        <f xml:space="preserve"> ROW( slr_cm[[#This Row],[row_id]] ) - ROW( slr_cm[[#Headers],[row_id]] )</f>
        <v>64</v>
      </c>
      <c r="B65" s="85">
        <v>2063</v>
      </c>
      <c r="C65" s="87">
        <v>0</v>
      </c>
      <c r="D65" s="87">
        <v>19.899999999999999</v>
      </c>
      <c r="E65" s="87">
        <v>30.8</v>
      </c>
      <c r="F65" s="87">
        <v>48.6</v>
      </c>
      <c r="G65" s="87">
        <v>65.7</v>
      </c>
      <c r="H65" s="87">
        <v>83.9</v>
      </c>
      <c r="I65" s="87">
        <v>99</v>
      </c>
    </row>
    <row r="66" spans="1:9" x14ac:dyDescent="0.25">
      <c r="A66" s="1">
        <f xml:space="preserve"> ROW( slr_cm[[#This Row],[row_id]] ) - ROW( slr_cm[[#Headers],[row_id]] )</f>
        <v>65</v>
      </c>
      <c r="B66" s="85">
        <v>2064</v>
      </c>
      <c r="C66" s="87">
        <v>0</v>
      </c>
      <c r="D66" s="87">
        <v>20.2</v>
      </c>
      <c r="E66" s="87">
        <v>31.4</v>
      </c>
      <c r="F66" s="87">
        <v>49.8</v>
      </c>
      <c r="G66" s="87">
        <v>67.599999999999994</v>
      </c>
      <c r="H66" s="87">
        <v>86.2</v>
      </c>
      <c r="I66" s="87">
        <v>102</v>
      </c>
    </row>
    <row r="67" spans="1:9" x14ac:dyDescent="0.25">
      <c r="A67" s="1">
        <f xml:space="preserve"> ROW( slr_cm[[#This Row],[row_id]] ) - ROW( slr_cm[[#Headers],[row_id]] )</f>
        <v>66</v>
      </c>
      <c r="B67" s="85">
        <v>2065</v>
      </c>
      <c r="C67" s="87">
        <v>0</v>
      </c>
      <c r="D67" s="87">
        <v>20.5</v>
      </c>
      <c r="E67" s="87">
        <v>32</v>
      </c>
      <c r="F67" s="87">
        <v>51</v>
      </c>
      <c r="G67" s="87">
        <v>69.5</v>
      </c>
      <c r="H67" s="87">
        <v>88.5</v>
      </c>
      <c r="I67" s="87">
        <v>105</v>
      </c>
    </row>
    <row r="68" spans="1:9" x14ac:dyDescent="0.25">
      <c r="A68" s="1">
        <f xml:space="preserve"> ROW( slr_cm[[#This Row],[row_id]] ) - ROW( slr_cm[[#Headers],[row_id]] )</f>
        <v>67</v>
      </c>
      <c r="B68" s="85">
        <v>2066</v>
      </c>
      <c r="C68" s="87">
        <v>0</v>
      </c>
      <c r="D68" s="87">
        <v>20.8</v>
      </c>
      <c r="E68" s="87">
        <v>32.6</v>
      </c>
      <c r="F68" s="87">
        <v>52.2</v>
      </c>
      <c r="G68" s="87">
        <v>71.400000000000006</v>
      </c>
      <c r="H68" s="87">
        <v>90.8</v>
      </c>
      <c r="I68" s="87">
        <v>108</v>
      </c>
    </row>
    <row r="69" spans="1:9" x14ac:dyDescent="0.25">
      <c r="A69" s="1">
        <f xml:space="preserve"> ROW( slr_cm[[#This Row],[row_id]] ) - ROW( slr_cm[[#Headers],[row_id]] )</f>
        <v>68</v>
      </c>
      <c r="B69" s="85">
        <v>2067</v>
      </c>
      <c r="C69" s="87">
        <v>0</v>
      </c>
      <c r="D69" s="87">
        <v>21.1</v>
      </c>
      <c r="E69" s="87">
        <v>33.200000000000003</v>
      </c>
      <c r="F69" s="87">
        <v>53.4</v>
      </c>
      <c r="G69" s="87">
        <v>73.3</v>
      </c>
      <c r="H69" s="87">
        <v>93.1</v>
      </c>
      <c r="I69" s="87">
        <v>111</v>
      </c>
    </row>
    <row r="70" spans="1:9" x14ac:dyDescent="0.25">
      <c r="A70" s="1">
        <f xml:space="preserve"> ROW( slr_cm[[#This Row],[row_id]] ) - ROW( slr_cm[[#Headers],[row_id]] )</f>
        <v>69</v>
      </c>
      <c r="B70" s="85">
        <v>2068</v>
      </c>
      <c r="C70" s="87">
        <v>0</v>
      </c>
      <c r="D70" s="87">
        <v>21.4</v>
      </c>
      <c r="E70" s="87">
        <v>33.799999999999997</v>
      </c>
      <c r="F70" s="87">
        <v>54.6</v>
      </c>
      <c r="G70" s="87">
        <v>75.2</v>
      </c>
      <c r="H70" s="87">
        <v>95.4</v>
      </c>
      <c r="I70" s="87">
        <v>114</v>
      </c>
    </row>
    <row r="71" spans="1:9" x14ac:dyDescent="0.25">
      <c r="A71" s="1">
        <f xml:space="preserve"> ROW( slr_cm[[#This Row],[row_id]] ) - ROW( slr_cm[[#Headers],[row_id]] )</f>
        <v>70</v>
      </c>
      <c r="B71" s="85">
        <v>2069</v>
      </c>
      <c r="C71" s="87">
        <v>0</v>
      </c>
      <c r="D71" s="87">
        <v>21.7</v>
      </c>
      <c r="E71" s="87">
        <v>34.4</v>
      </c>
      <c r="F71" s="87">
        <v>55.8</v>
      </c>
      <c r="G71" s="87">
        <v>77.099999999999994</v>
      </c>
      <c r="H71" s="87">
        <v>97.7</v>
      </c>
      <c r="I71" s="87">
        <v>117</v>
      </c>
    </row>
    <row r="72" spans="1:9" x14ac:dyDescent="0.25">
      <c r="A72" s="1">
        <f xml:space="preserve"> ROW( slr_cm[[#This Row],[row_id]] ) - ROW( slr_cm[[#Headers],[row_id]] )</f>
        <v>71</v>
      </c>
      <c r="B72" s="85">
        <v>2070</v>
      </c>
      <c r="C72" s="87">
        <v>0</v>
      </c>
      <c r="D72" s="87">
        <v>22</v>
      </c>
      <c r="E72" s="87">
        <v>35</v>
      </c>
      <c r="F72" s="87">
        <v>57</v>
      </c>
      <c r="G72" s="87">
        <v>79</v>
      </c>
      <c r="H72" s="87">
        <v>100</v>
      </c>
      <c r="I72" s="87">
        <v>120</v>
      </c>
    </row>
    <row r="73" spans="1:9" x14ac:dyDescent="0.25">
      <c r="A73" s="1">
        <f xml:space="preserve"> ROW( slr_cm[[#This Row],[row_id]] ) - ROW( slr_cm[[#Headers],[row_id]] )</f>
        <v>72</v>
      </c>
      <c r="B73" s="85">
        <v>2071</v>
      </c>
      <c r="C73" s="87">
        <v>0</v>
      </c>
      <c r="D73" s="87">
        <v>22.3</v>
      </c>
      <c r="E73" s="87">
        <v>35.5</v>
      </c>
      <c r="F73" s="87">
        <v>58.4</v>
      </c>
      <c r="G73" s="87">
        <v>81.099999999999994</v>
      </c>
      <c r="H73" s="87">
        <v>103</v>
      </c>
      <c r="I73" s="87">
        <v>124</v>
      </c>
    </row>
    <row r="74" spans="1:9" x14ac:dyDescent="0.25">
      <c r="A74" s="1">
        <f xml:space="preserve"> ROW( slr_cm[[#This Row],[row_id]] ) - ROW( slr_cm[[#Headers],[row_id]] )</f>
        <v>73</v>
      </c>
      <c r="B74" s="85">
        <v>2072</v>
      </c>
      <c r="C74" s="87">
        <v>0</v>
      </c>
      <c r="D74" s="87">
        <v>22.6</v>
      </c>
      <c r="E74" s="87">
        <v>36</v>
      </c>
      <c r="F74" s="87">
        <v>59.8</v>
      </c>
      <c r="G74" s="87">
        <v>83.2</v>
      </c>
      <c r="H74" s="87">
        <v>106</v>
      </c>
      <c r="I74" s="87">
        <v>128</v>
      </c>
    </row>
    <row r="75" spans="1:9" x14ac:dyDescent="0.25">
      <c r="A75" s="1">
        <f xml:space="preserve"> ROW( slr_cm[[#This Row],[row_id]] ) - ROW( slr_cm[[#Headers],[row_id]] )</f>
        <v>74</v>
      </c>
      <c r="B75" s="85">
        <v>2073</v>
      </c>
      <c r="C75" s="87">
        <v>0</v>
      </c>
      <c r="D75" s="87">
        <v>22.9</v>
      </c>
      <c r="E75" s="87">
        <v>36.5</v>
      </c>
      <c r="F75" s="87">
        <v>61.2</v>
      </c>
      <c r="G75" s="87">
        <v>85.3</v>
      </c>
      <c r="H75" s="87">
        <v>109</v>
      </c>
      <c r="I75" s="87">
        <v>132</v>
      </c>
    </row>
    <row r="76" spans="1:9" x14ac:dyDescent="0.25">
      <c r="A76" s="1">
        <f xml:space="preserve"> ROW( slr_cm[[#This Row],[row_id]] ) - ROW( slr_cm[[#Headers],[row_id]] )</f>
        <v>75</v>
      </c>
      <c r="B76" s="85">
        <v>2074</v>
      </c>
      <c r="C76" s="87">
        <v>0</v>
      </c>
      <c r="D76" s="87">
        <v>23.2</v>
      </c>
      <c r="E76" s="87">
        <v>37</v>
      </c>
      <c r="F76" s="87">
        <v>62.6</v>
      </c>
      <c r="G76" s="87">
        <v>87.4</v>
      </c>
      <c r="H76" s="87">
        <v>112</v>
      </c>
      <c r="I76" s="87">
        <v>136</v>
      </c>
    </row>
    <row r="77" spans="1:9" x14ac:dyDescent="0.25">
      <c r="A77" s="1">
        <f xml:space="preserve"> ROW( slr_cm[[#This Row],[row_id]] ) - ROW( slr_cm[[#Headers],[row_id]] )</f>
        <v>76</v>
      </c>
      <c r="B77" s="85">
        <v>2075</v>
      </c>
      <c r="C77" s="87">
        <v>0</v>
      </c>
      <c r="D77" s="87">
        <v>23.5</v>
      </c>
      <c r="E77" s="87">
        <v>37.5</v>
      </c>
      <c r="F77" s="87">
        <v>64</v>
      </c>
      <c r="G77" s="87">
        <v>89.5</v>
      </c>
      <c r="H77" s="87">
        <v>115</v>
      </c>
      <c r="I77" s="87">
        <v>140</v>
      </c>
    </row>
    <row r="78" spans="1:9" x14ac:dyDescent="0.25">
      <c r="A78" s="1">
        <f xml:space="preserve"> ROW( slr_cm[[#This Row],[row_id]] ) - ROW( slr_cm[[#Headers],[row_id]] )</f>
        <v>77</v>
      </c>
      <c r="B78" s="85">
        <v>2076</v>
      </c>
      <c r="C78" s="87">
        <v>0</v>
      </c>
      <c r="D78" s="87">
        <v>23.8</v>
      </c>
      <c r="E78" s="87">
        <v>38</v>
      </c>
      <c r="F78" s="87">
        <v>65.400000000000006</v>
      </c>
      <c r="G78" s="87">
        <v>91.6</v>
      </c>
      <c r="H78" s="87">
        <v>118</v>
      </c>
      <c r="I78" s="87">
        <v>144</v>
      </c>
    </row>
    <row r="79" spans="1:9" x14ac:dyDescent="0.25">
      <c r="A79" s="1">
        <f xml:space="preserve"> ROW( slr_cm[[#This Row],[row_id]] ) - ROW( slr_cm[[#Headers],[row_id]] )</f>
        <v>78</v>
      </c>
      <c r="B79" s="85">
        <v>2077</v>
      </c>
      <c r="C79" s="87">
        <v>0</v>
      </c>
      <c r="D79" s="87">
        <v>24.1</v>
      </c>
      <c r="E79" s="87">
        <v>38.5</v>
      </c>
      <c r="F79" s="87">
        <v>66.8</v>
      </c>
      <c r="G79" s="87">
        <v>93.7</v>
      </c>
      <c r="H79" s="87">
        <v>121</v>
      </c>
      <c r="I79" s="87">
        <v>148</v>
      </c>
    </row>
    <row r="80" spans="1:9" x14ac:dyDescent="0.25">
      <c r="A80" s="1">
        <f xml:space="preserve"> ROW( slr_cm[[#This Row],[row_id]] ) - ROW( slr_cm[[#Headers],[row_id]] )</f>
        <v>79</v>
      </c>
      <c r="B80" s="85">
        <v>2078</v>
      </c>
      <c r="C80" s="87">
        <v>0</v>
      </c>
      <c r="D80" s="87">
        <v>24.4</v>
      </c>
      <c r="E80" s="87">
        <v>39</v>
      </c>
      <c r="F80" s="87">
        <v>68.2</v>
      </c>
      <c r="G80" s="87">
        <v>95.8</v>
      </c>
      <c r="H80" s="87">
        <v>124</v>
      </c>
      <c r="I80" s="87">
        <v>152</v>
      </c>
    </row>
    <row r="81" spans="1:9" x14ac:dyDescent="0.25">
      <c r="A81" s="1">
        <f xml:space="preserve"> ROW( slr_cm[[#This Row],[row_id]] ) - ROW( slr_cm[[#Headers],[row_id]] )</f>
        <v>80</v>
      </c>
      <c r="B81" s="85">
        <v>2079</v>
      </c>
      <c r="C81" s="87">
        <v>0</v>
      </c>
      <c r="D81" s="87">
        <v>24.7</v>
      </c>
      <c r="E81" s="87">
        <v>39.5</v>
      </c>
      <c r="F81" s="87">
        <v>69.599999999999994</v>
      </c>
      <c r="G81" s="87">
        <v>97.9</v>
      </c>
      <c r="H81" s="87">
        <v>127</v>
      </c>
      <c r="I81" s="87">
        <v>156</v>
      </c>
    </row>
    <row r="82" spans="1:9" x14ac:dyDescent="0.25">
      <c r="A82" s="1">
        <f xml:space="preserve"> ROW( slr_cm[[#This Row],[row_id]] ) - ROW( slr_cm[[#Headers],[row_id]] )</f>
        <v>81</v>
      </c>
      <c r="B82" s="85">
        <v>2080</v>
      </c>
      <c r="C82" s="87">
        <v>0</v>
      </c>
      <c r="D82" s="87">
        <v>25</v>
      </c>
      <c r="E82" s="87">
        <v>40</v>
      </c>
      <c r="F82" s="87">
        <v>71</v>
      </c>
      <c r="G82" s="87">
        <v>100</v>
      </c>
      <c r="H82" s="87">
        <v>130</v>
      </c>
      <c r="I82" s="87">
        <v>160</v>
      </c>
    </row>
    <row r="83" spans="1:9" x14ac:dyDescent="0.25">
      <c r="A83" s="1">
        <f xml:space="preserve"> ROW( slr_cm[[#This Row],[row_id]] ) - ROW( slr_cm[[#Headers],[row_id]] )</f>
        <v>82</v>
      </c>
      <c r="B83" s="85">
        <v>2081</v>
      </c>
      <c r="C83" s="87">
        <v>0</v>
      </c>
      <c r="D83" s="87">
        <v>25.3</v>
      </c>
      <c r="E83" s="87">
        <v>40.5</v>
      </c>
      <c r="F83" s="87">
        <v>72.400000000000006</v>
      </c>
      <c r="G83" s="87">
        <v>102</v>
      </c>
      <c r="H83" s="87">
        <v>134</v>
      </c>
      <c r="I83" s="87">
        <v>164</v>
      </c>
    </row>
    <row r="84" spans="1:9" x14ac:dyDescent="0.25">
      <c r="A84" s="1">
        <f xml:space="preserve"> ROW( slr_cm[[#This Row],[row_id]] ) - ROW( slr_cm[[#Headers],[row_id]] )</f>
        <v>83</v>
      </c>
      <c r="B84" s="85">
        <v>2082</v>
      </c>
      <c r="C84" s="87">
        <v>0</v>
      </c>
      <c r="D84" s="87">
        <v>25.6</v>
      </c>
      <c r="E84" s="87">
        <v>41</v>
      </c>
      <c r="F84" s="87">
        <v>73.8</v>
      </c>
      <c r="G84" s="87">
        <v>104</v>
      </c>
      <c r="H84" s="87">
        <v>138</v>
      </c>
      <c r="I84" s="87">
        <v>168</v>
      </c>
    </row>
    <row r="85" spans="1:9" x14ac:dyDescent="0.25">
      <c r="A85" s="1">
        <f xml:space="preserve"> ROW( slr_cm[[#This Row],[row_id]] ) - ROW( slr_cm[[#Headers],[row_id]] )</f>
        <v>84</v>
      </c>
      <c r="B85" s="85">
        <v>2083</v>
      </c>
      <c r="C85" s="87">
        <v>0</v>
      </c>
      <c r="D85" s="87">
        <v>25.9</v>
      </c>
      <c r="E85" s="87">
        <v>41.5</v>
      </c>
      <c r="F85" s="87">
        <v>75.2</v>
      </c>
      <c r="G85" s="87">
        <v>106</v>
      </c>
      <c r="H85" s="87">
        <v>142</v>
      </c>
      <c r="I85" s="87">
        <v>172</v>
      </c>
    </row>
    <row r="86" spans="1:9" x14ac:dyDescent="0.25">
      <c r="A86" s="1">
        <f xml:space="preserve"> ROW( slr_cm[[#This Row],[row_id]] ) - ROW( slr_cm[[#Headers],[row_id]] )</f>
        <v>85</v>
      </c>
      <c r="B86" s="85">
        <v>2084</v>
      </c>
      <c r="C86" s="87">
        <v>0</v>
      </c>
      <c r="D86" s="87">
        <v>26.2</v>
      </c>
      <c r="E86" s="87">
        <v>42</v>
      </c>
      <c r="F86" s="87">
        <v>76.599999999999994</v>
      </c>
      <c r="G86" s="87">
        <v>108</v>
      </c>
      <c r="H86" s="87">
        <v>146</v>
      </c>
      <c r="I86" s="87">
        <v>176</v>
      </c>
    </row>
    <row r="87" spans="1:9" x14ac:dyDescent="0.25">
      <c r="A87" s="1">
        <f xml:space="preserve"> ROW( slr_cm[[#This Row],[row_id]] ) - ROW( slr_cm[[#Headers],[row_id]] )</f>
        <v>86</v>
      </c>
      <c r="B87" s="85">
        <v>2085</v>
      </c>
      <c r="C87" s="87">
        <v>0</v>
      </c>
      <c r="D87" s="87">
        <v>26.5</v>
      </c>
      <c r="E87" s="87">
        <v>42.5</v>
      </c>
      <c r="F87" s="87">
        <v>78</v>
      </c>
      <c r="G87" s="87">
        <v>110</v>
      </c>
      <c r="H87" s="87">
        <v>150</v>
      </c>
      <c r="I87" s="87">
        <v>180</v>
      </c>
    </row>
    <row r="88" spans="1:9" x14ac:dyDescent="0.25">
      <c r="A88" s="1">
        <f xml:space="preserve"> ROW( slr_cm[[#This Row],[row_id]] ) - ROW( slr_cm[[#Headers],[row_id]] )</f>
        <v>87</v>
      </c>
      <c r="B88" s="85">
        <v>2086</v>
      </c>
      <c r="C88" s="87">
        <v>0</v>
      </c>
      <c r="D88" s="87">
        <v>26.8</v>
      </c>
      <c r="E88" s="87">
        <v>43</v>
      </c>
      <c r="F88" s="87">
        <v>79.400000000000006</v>
      </c>
      <c r="G88" s="87">
        <v>112</v>
      </c>
      <c r="H88" s="87">
        <v>154</v>
      </c>
      <c r="I88" s="87">
        <v>184</v>
      </c>
    </row>
    <row r="89" spans="1:9" x14ac:dyDescent="0.25">
      <c r="A89" s="1">
        <f xml:space="preserve"> ROW( slr_cm[[#This Row],[row_id]] ) - ROW( slr_cm[[#Headers],[row_id]] )</f>
        <v>88</v>
      </c>
      <c r="B89" s="85">
        <v>2087</v>
      </c>
      <c r="C89" s="87">
        <v>0</v>
      </c>
      <c r="D89" s="87">
        <v>27.1</v>
      </c>
      <c r="E89" s="87">
        <v>43.5</v>
      </c>
      <c r="F89" s="87">
        <v>80.8</v>
      </c>
      <c r="G89" s="87">
        <v>114</v>
      </c>
      <c r="H89" s="87">
        <v>158</v>
      </c>
      <c r="I89" s="87">
        <v>188</v>
      </c>
    </row>
    <row r="90" spans="1:9" x14ac:dyDescent="0.25">
      <c r="A90" s="1">
        <f xml:space="preserve"> ROW( slr_cm[[#This Row],[row_id]] ) - ROW( slr_cm[[#Headers],[row_id]] )</f>
        <v>89</v>
      </c>
      <c r="B90" s="85">
        <v>2088</v>
      </c>
      <c r="C90" s="87">
        <v>0</v>
      </c>
      <c r="D90" s="87">
        <v>27.4</v>
      </c>
      <c r="E90" s="87">
        <v>44</v>
      </c>
      <c r="F90" s="87">
        <v>82.2</v>
      </c>
      <c r="G90" s="87">
        <v>116</v>
      </c>
      <c r="H90" s="87">
        <v>162</v>
      </c>
      <c r="I90" s="87">
        <v>192</v>
      </c>
    </row>
    <row r="91" spans="1:9" x14ac:dyDescent="0.25">
      <c r="A91" s="1">
        <f xml:space="preserve"> ROW( slr_cm[[#This Row],[row_id]] ) - ROW( slr_cm[[#Headers],[row_id]] )</f>
        <v>90</v>
      </c>
      <c r="B91" s="85">
        <v>2089</v>
      </c>
      <c r="C91" s="87">
        <v>0</v>
      </c>
      <c r="D91" s="87">
        <v>27.7</v>
      </c>
      <c r="E91" s="87">
        <v>44.5</v>
      </c>
      <c r="F91" s="87">
        <v>83.6</v>
      </c>
      <c r="G91" s="87">
        <v>118</v>
      </c>
      <c r="H91" s="87">
        <v>166</v>
      </c>
      <c r="I91" s="87">
        <v>196</v>
      </c>
    </row>
    <row r="92" spans="1:9" x14ac:dyDescent="0.25">
      <c r="A92" s="1">
        <f xml:space="preserve"> ROW( slr_cm[[#This Row],[row_id]] ) - ROW( slr_cm[[#Headers],[row_id]] )</f>
        <v>91</v>
      </c>
      <c r="B92" s="85">
        <v>2090</v>
      </c>
      <c r="C92" s="87">
        <v>0</v>
      </c>
      <c r="D92" s="87">
        <v>28</v>
      </c>
      <c r="E92" s="87">
        <v>45</v>
      </c>
      <c r="F92" s="87">
        <v>85</v>
      </c>
      <c r="G92" s="87">
        <v>120</v>
      </c>
      <c r="H92" s="87">
        <v>170</v>
      </c>
      <c r="I92" s="87">
        <v>200</v>
      </c>
    </row>
    <row r="93" spans="1:9" x14ac:dyDescent="0.25">
      <c r="A93" s="1">
        <f xml:space="preserve"> ROW( slr_cm[[#This Row],[row_id]] ) - ROW( slr_cm[[#Headers],[row_id]] )</f>
        <v>92</v>
      </c>
      <c r="B93" s="85">
        <v>2091</v>
      </c>
      <c r="C93" s="87">
        <v>0</v>
      </c>
      <c r="D93" s="87">
        <v>28.2</v>
      </c>
      <c r="E93" s="87">
        <v>45.5</v>
      </c>
      <c r="F93" s="87">
        <v>86.5</v>
      </c>
      <c r="G93" s="87">
        <v>123</v>
      </c>
      <c r="H93" s="87">
        <v>173</v>
      </c>
      <c r="I93" s="87">
        <v>205</v>
      </c>
    </row>
    <row r="94" spans="1:9" x14ac:dyDescent="0.25">
      <c r="A94" s="1">
        <f xml:space="preserve"> ROW( slr_cm[[#This Row],[row_id]] ) - ROW( slr_cm[[#Headers],[row_id]] )</f>
        <v>93</v>
      </c>
      <c r="B94" s="85">
        <v>2092</v>
      </c>
      <c r="C94" s="87">
        <v>0</v>
      </c>
      <c r="D94" s="87">
        <v>28.4</v>
      </c>
      <c r="E94" s="87">
        <v>46</v>
      </c>
      <c r="F94" s="87">
        <v>88</v>
      </c>
      <c r="G94" s="87">
        <v>126</v>
      </c>
      <c r="H94" s="87">
        <v>176</v>
      </c>
      <c r="I94" s="87">
        <v>210</v>
      </c>
    </row>
    <row r="95" spans="1:9" x14ac:dyDescent="0.25">
      <c r="A95" s="1">
        <f xml:space="preserve"> ROW( slr_cm[[#This Row],[row_id]] ) - ROW( slr_cm[[#Headers],[row_id]] )</f>
        <v>94</v>
      </c>
      <c r="B95" s="85">
        <v>2093</v>
      </c>
      <c r="C95" s="87">
        <v>0</v>
      </c>
      <c r="D95" s="87">
        <v>28.6</v>
      </c>
      <c r="E95" s="87">
        <v>46.5</v>
      </c>
      <c r="F95" s="87">
        <v>89.5</v>
      </c>
      <c r="G95" s="87">
        <v>129</v>
      </c>
      <c r="H95" s="87">
        <v>179</v>
      </c>
      <c r="I95" s="87">
        <v>215</v>
      </c>
    </row>
    <row r="96" spans="1:9" x14ac:dyDescent="0.25">
      <c r="A96" s="1">
        <f xml:space="preserve"> ROW( slr_cm[[#This Row],[row_id]] ) - ROW( slr_cm[[#Headers],[row_id]] )</f>
        <v>95</v>
      </c>
      <c r="B96" s="85">
        <v>2094</v>
      </c>
      <c r="C96" s="87">
        <v>0</v>
      </c>
      <c r="D96" s="87">
        <v>28.8</v>
      </c>
      <c r="E96" s="87">
        <v>47</v>
      </c>
      <c r="F96" s="87">
        <v>91</v>
      </c>
      <c r="G96" s="87">
        <v>132</v>
      </c>
      <c r="H96" s="87">
        <v>182</v>
      </c>
      <c r="I96" s="87">
        <v>220</v>
      </c>
    </row>
    <row r="97" spans="1:9" x14ac:dyDescent="0.25">
      <c r="A97" s="1">
        <f xml:space="preserve"> ROW( slr_cm[[#This Row],[row_id]] ) - ROW( slr_cm[[#Headers],[row_id]] )</f>
        <v>96</v>
      </c>
      <c r="B97" s="85">
        <v>2095</v>
      </c>
      <c r="C97" s="87">
        <v>0</v>
      </c>
      <c r="D97" s="87">
        <v>29</v>
      </c>
      <c r="E97" s="87">
        <v>47.5</v>
      </c>
      <c r="F97" s="87">
        <v>92.5</v>
      </c>
      <c r="G97" s="87">
        <v>135</v>
      </c>
      <c r="H97" s="87">
        <v>185</v>
      </c>
      <c r="I97" s="87">
        <v>225</v>
      </c>
    </row>
    <row r="98" spans="1:9" x14ac:dyDescent="0.25">
      <c r="A98" s="1">
        <f xml:space="preserve"> ROW( slr_cm[[#This Row],[row_id]] ) - ROW( slr_cm[[#Headers],[row_id]] )</f>
        <v>97</v>
      </c>
      <c r="B98" s="85">
        <v>2096</v>
      </c>
      <c r="C98" s="87">
        <v>0</v>
      </c>
      <c r="D98" s="87">
        <v>29.2</v>
      </c>
      <c r="E98" s="87">
        <v>48</v>
      </c>
      <c r="F98" s="87">
        <v>94</v>
      </c>
      <c r="G98" s="87">
        <v>138</v>
      </c>
      <c r="H98" s="87">
        <v>188</v>
      </c>
      <c r="I98" s="87">
        <v>230</v>
      </c>
    </row>
    <row r="99" spans="1:9" x14ac:dyDescent="0.25">
      <c r="A99" s="1">
        <f xml:space="preserve"> ROW( slr_cm[[#This Row],[row_id]] ) - ROW( slr_cm[[#Headers],[row_id]] )</f>
        <v>98</v>
      </c>
      <c r="B99" s="85">
        <v>2097</v>
      </c>
      <c r="C99" s="87">
        <v>0</v>
      </c>
      <c r="D99" s="87">
        <v>29.4</v>
      </c>
      <c r="E99" s="87">
        <v>48.5</v>
      </c>
      <c r="F99" s="87">
        <v>95.5</v>
      </c>
      <c r="G99" s="87">
        <v>141</v>
      </c>
      <c r="H99" s="87">
        <v>191</v>
      </c>
      <c r="I99" s="87">
        <v>235</v>
      </c>
    </row>
    <row r="100" spans="1:9" x14ac:dyDescent="0.25">
      <c r="A100" s="1">
        <f xml:space="preserve"> ROW( slr_cm[[#This Row],[row_id]] ) - ROW( slr_cm[[#Headers],[row_id]] )</f>
        <v>99</v>
      </c>
      <c r="B100" s="85">
        <v>2098</v>
      </c>
      <c r="C100" s="87">
        <v>0</v>
      </c>
      <c r="D100" s="87">
        <v>29.6</v>
      </c>
      <c r="E100" s="87">
        <v>49</v>
      </c>
      <c r="F100" s="87">
        <v>97</v>
      </c>
      <c r="G100" s="87">
        <v>144</v>
      </c>
      <c r="H100" s="87">
        <v>194</v>
      </c>
      <c r="I100" s="87">
        <v>240</v>
      </c>
    </row>
    <row r="101" spans="1:9" x14ac:dyDescent="0.25">
      <c r="A101" s="1">
        <f xml:space="preserve"> ROW( slr_cm[[#This Row],[row_id]] ) - ROW( slr_cm[[#Headers],[row_id]] )</f>
        <v>100</v>
      </c>
      <c r="B101" s="85">
        <v>2099</v>
      </c>
      <c r="C101" s="87">
        <v>0</v>
      </c>
      <c r="D101" s="87">
        <v>29.8</v>
      </c>
      <c r="E101" s="87">
        <v>49.5</v>
      </c>
      <c r="F101" s="87">
        <v>98.5</v>
      </c>
      <c r="G101" s="87">
        <v>147</v>
      </c>
      <c r="H101" s="87">
        <v>197</v>
      </c>
      <c r="I101" s="87">
        <v>245</v>
      </c>
    </row>
    <row r="102" spans="1:9" x14ac:dyDescent="0.25">
      <c r="A102" s="1">
        <f xml:space="preserve"> ROW( slr_cm[[#This Row],[row_id]] ) - ROW( slr_cm[[#Headers],[row_id]] )</f>
        <v>101</v>
      </c>
      <c r="B102" s="85">
        <v>2100</v>
      </c>
      <c r="C102" s="87">
        <v>0</v>
      </c>
      <c r="D102" s="87">
        <v>30</v>
      </c>
      <c r="E102" s="87">
        <v>50</v>
      </c>
      <c r="F102" s="87">
        <v>100</v>
      </c>
      <c r="G102" s="87">
        <v>150</v>
      </c>
      <c r="H102" s="87">
        <v>200</v>
      </c>
      <c r="I102" s="87">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2025-02-13T23:18:48Z</dcterms:modified>
</cp:coreProperties>
</file>