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updateLinks="never" codeName="ThisWorkbook" defaultThemeVersion="166925"/>
  <xr:revisionPtr revIDLastSave="0" documentId="13_ncr:1_{113D80CD-842B-4D7D-8ECB-B57211CD7B5B}" xr6:coauthVersionLast="47" xr6:coauthVersionMax="47" xr10:uidLastSave="{00000000-0000-0000-0000-000000000000}"/>
  <bookViews>
    <workbookView xWindow="5820" yWindow="0" windowWidth="22980" windowHeight="1558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controlTables!$D$219</definedName>
    <definedName name="k_coMillions">controlTables!$D$220</definedName>
    <definedName name="k_coThousands">controlTables!$D$221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9" i="24" l="1" a="1"/>
  <c r="D329" i="24" s="1"/>
  <c r="D330" i="24" a="1"/>
  <c r="D330" i="24" s="1"/>
  <c r="B22" i="43"/>
  <c r="F22" i="43"/>
  <c r="B330" i="24"/>
  <c r="B329" i="24"/>
  <c r="F21" i="43"/>
  <c r="B21" i="43"/>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5" i="24"/>
  <c r="K205" i="24" a="1"/>
  <c r="K205"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G22" i="43" a="1"/>
  <c r="J21" i="43" a="1"/>
  <c r="H22" i="43"/>
  <c r="J22" i="43" a="1"/>
  <c r="G21" i="43" a="1"/>
  <c r="C14" i="24"/>
  <c r="C13" i="24"/>
  <c r="K21" i="43" a="1"/>
  <c r="H21" i="43"/>
  <c r="K22" i="43" a="1"/>
  <c r="J22" i="43" l="1"/>
  <c r="G22" i="43"/>
  <c r="I22" i="43" s="1"/>
  <c r="K22" i="43"/>
  <c r="K21" i="43"/>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4" i="24"/>
  <c r="K204" i="24" a="1"/>
  <c r="K204"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I108" i="24"/>
  <c r="J108" i="24" a="1"/>
  <c r="J108" i="24" s="1"/>
  <c r="K108" i="24" a="1"/>
  <c r="K108" i="24" s="1"/>
  <c r="J35" i="24"/>
  <c r="L22" i="43" l="1"/>
  <c r="L21" i="43"/>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9" i="24" l="1"/>
  <c r="Q159" i="24"/>
  <c r="R159" i="24" a="1"/>
  <c r="R159" i="24" s="1"/>
  <c r="U159" i="24" a="1"/>
  <c r="U159" i="24" s="1"/>
  <c r="B160" i="24"/>
  <c r="Q160" i="24"/>
  <c r="R160" i="24" a="1"/>
  <c r="R160" i="24" s="1"/>
  <c r="U160" i="24" a="1"/>
  <c r="U160" i="24" s="1"/>
  <c r="B161" i="24"/>
  <c r="Q161" i="24"/>
  <c r="R161" i="24" a="1"/>
  <c r="R161" i="24" s="1"/>
  <c r="U161" i="24" a="1"/>
  <c r="U161" i="24" s="1"/>
  <c r="B118" i="24"/>
  <c r="I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L23" i="24" a="1"/>
  <c r="L23" i="24" s="1"/>
  <c r="B91" i="24"/>
  <c r="I91" i="24"/>
  <c r="J91" i="24" a="1"/>
  <c r="J91" i="24" s="1"/>
  <c r="K91" i="24" a="1"/>
  <c r="K91" i="24" s="1"/>
  <c r="B92" i="24"/>
  <c r="I92" i="24"/>
  <c r="J92" i="24" a="1"/>
  <c r="J92" i="24" s="1"/>
  <c r="K92" i="24" a="1"/>
  <c r="K92"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I84" i="24"/>
  <c r="I85" i="24"/>
  <c r="I86" i="24"/>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3" i="24"/>
  <c r="H20" i="43"/>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9" i="24"/>
  <c r="K189" i="24" a="1"/>
  <c r="K189" i="24" s="1"/>
  <c r="B187" i="24"/>
  <c r="K187" i="24" a="1"/>
  <c r="K187" i="24" s="1"/>
  <c r="B136" i="24"/>
  <c r="Q136" i="24"/>
  <c r="R136" i="24" a="1"/>
  <c r="R136" i="24" s="1"/>
  <c r="S136" i="24" a="1"/>
  <c r="S136" i="24" s="1"/>
  <c r="U136" i="24" a="1"/>
  <c r="U136" i="24" s="1"/>
  <c r="B135" i="24"/>
  <c r="Q135" i="24"/>
  <c r="R135" i="24" a="1"/>
  <c r="R135" i="24" s="1"/>
  <c r="U135" i="24" a="1"/>
  <c r="U135" i="24" s="1"/>
  <c r="B89" i="24"/>
  <c r="I89" i="24"/>
  <c r="J89" i="24" a="1"/>
  <c r="J89" i="24" s="1"/>
  <c r="B54" i="24"/>
  <c r="D54" i="24" a="1"/>
  <c r="D54" i="24" s="1"/>
  <c r="E54" i="24" a="1"/>
  <c r="E54" i="24" s="1"/>
  <c r="F54" i="24" a="1"/>
  <c r="F54" i="24" s="1"/>
  <c r="J25" i="24"/>
  <c r="C4" i="24"/>
  <c r="L25" i="24" l="1" a="1"/>
  <c r="L25" i="24" s="1"/>
  <c r="M25" i="24" a="1"/>
  <c r="M25" i="24" s="1"/>
  <c r="N25" i="24" a="1"/>
  <c r="N25" i="24" s="1"/>
  <c r="P25" i="24" a="1"/>
  <c r="P25"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I88" i="24"/>
  <c r="J88" i="24" a="1"/>
  <c r="J88" i="24" s="1"/>
  <c r="I87" i="24"/>
  <c r="J87" i="24" a="1"/>
  <c r="J87" i="24" s="1"/>
  <c r="B87" i="24"/>
  <c r="B53" i="24"/>
  <c r="D53" i="24" a="1"/>
  <c r="D53" i="24" s="1"/>
  <c r="N24" i="24" s="1" a="1"/>
  <c r="N24" i="24" s="1"/>
  <c r="E53" i="24" a="1"/>
  <c r="E53" i="24" s="1"/>
  <c r="F53" i="24" a="1"/>
  <c r="F53"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7" i="24"/>
  <c r="Q137" i="24"/>
  <c r="U137" i="24" a="1"/>
  <c r="U137" i="24" s="1"/>
  <c r="I107" i="24"/>
  <c r="B90" i="24"/>
  <c r="I90" i="24"/>
  <c r="J90" i="24" a="1"/>
  <c r="J90" i="24" s="1"/>
  <c r="D63" i="24" a="1"/>
  <c r="D63" i="24" s="1"/>
  <c r="E63" i="24" a="1"/>
  <c r="E63" i="24" s="1"/>
  <c r="F63" i="24" a="1"/>
  <c r="F63" i="24" s="1"/>
  <c r="B55" i="24"/>
  <c r="B63"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H8" i="43"/>
  <c r="J26" i="24"/>
  <c r="J24" i="24"/>
  <c r="K18" i="43" a="1"/>
  <c r="J34" i="24"/>
  <c r="K19" i="43" a="1"/>
  <c r="K8" i="43" a="1"/>
  <c r="G19" i="43" a="1"/>
  <c r="N34" i="24" l="1" a="1"/>
  <c r="N34" i="24" s="1"/>
  <c r="G19" i="43"/>
  <c r="K19" i="43"/>
  <c r="G18" i="43"/>
  <c r="K18" i="43"/>
  <c r="K8" i="43"/>
  <c r="J19" i="43" a="1"/>
  <c r="H18" i="43"/>
  <c r="J8" i="43" a="1"/>
  <c r="J18" i="43" a="1"/>
  <c r="G8" i="43" a="1"/>
  <c r="H19" i="43"/>
  <c r="J8" i="43" l="1"/>
  <c r="L8" i="43" s="1"/>
  <c r="I18" i="43"/>
  <c r="I19" i="43"/>
  <c r="G8" i="43"/>
  <c r="I8" i="43" s="1"/>
  <c r="J19" i="43"/>
  <c r="L19" i="43" s="1"/>
  <c r="J18" i="43"/>
  <c r="L18" i="43" s="1"/>
  <c r="P44" i="24" a="1"/>
  <c r="P44" i="24" s="1"/>
  <c r="M44" i="24" a="1"/>
  <c r="M44" i="24" s="1"/>
  <c r="L44" i="24" a="1"/>
  <c r="L44" i="24" s="1"/>
  <c r="B240" i="24"/>
  <c r="E240" i="24"/>
  <c r="F240" i="24" s="1"/>
  <c r="B166" i="24"/>
  <c r="Q166" i="24"/>
  <c r="U166" i="24" a="1"/>
  <c r="U166" i="24" s="1"/>
  <c r="B121" i="24"/>
  <c r="I121" i="24"/>
  <c r="J121" i="24" a="1"/>
  <c r="J121" i="24" s="1"/>
  <c r="B73" i="24"/>
  <c r="D73" i="24" a="1"/>
  <c r="D73" i="24" s="1"/>
  <c r="N44" i="24" s="1" a="1"/>
  <c r="N44" i="24" s="1"/>
  <c r="E73" i="24" a="1"/>
  <c r="E73" i="24" s="1"/>
  <c r="F73" i="24" a="1"/>
  <c r="F73"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4" i="24"/>
  <c r="G240"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1" i="24"/>
  <c r="E241" i="24"/>
  <c r="F241" i="24" s="1"/>
  <c r="B144" i="24"/>
  <c r="Q144" i="24"/>
  <c r="U144" i="24" a="1"/>
  <c r="U144" i="24" s="1"/>
  <c r="B105" i="24"/>
  <c r="I105" i="24"/>
  <c r="J105" i="24" a="1"/>
  <c r="J105" i="24" s="1"/>
  <c r="B61" i="24"/>
  <c r="D61" i="24" a="1"/>
  <c r="D61" i="24" s="1"/>
  <c r="N32" i="24" s="1" a="1"/>
  <c r="N32" i="24" s="1"/>
  <c r="E61" i="24" a="1"/>
  <c r="E61" i="24" s="1"/>
  <c r="F61" i="24" a="1"/>
  <c r="F61" i="24" s="1"/>
  <c r="B2325" i="25"/>
  <c r="B2326" i="25"/>
  <c r="B2327" i="25"/>
  <c r="B2328" i="25"/>
  <c r="B2329" i="25"/>
  <c r="B2330" i="25"/>
  <c r="A2325" i="25"/>
  <c r="A2326" i="25"/>
  <c r="A2327" i="25"/>
  <c r="A2328" i="25"/>
  <c r="A2329" i="25"/>
  <c r="A2330" i="25"/>
  <c r="A2324" i="25"/>
  <c r="B2324" i="25"/>
  <c r="J32" i="24"/>
  <c r="G241" i="24" l="1"/>
  <c r="F265" i="24" l="1"/>
  <c r="F266" i="24"/>
  <c r="F267" i="24"/>
  <c r="F268" i="24"/>
  <c r="G265" i="24"/>
  <c r="G266" i="24"/>
  <c r="G267" i="24"/>
  <c r="G268" i="24"/>
  <c r="B17" i="43"/>
  <c r="F17" i="43"/>
  <c r="J265" i="24"/>
  <c r="J266" i="24"/>
  <c r="J267" i="24"/>
  <c r="J268" i="24"/>
  <c r="B268" i="24"/>
  <c r="B267" i="24"/>
  <c r="B266" i="24"/>
  <c r="B265" i="24"/>
  <c r="K17" i="43" a="1"/>
  <c r="C7" i="24"/>
  <c r="C10" i="24"/>
  <c r="C9" i="24"/>
  <c r="C6" i="24"/>
  <c r="C3" i="24"/>
  <c r="C11" i="24"/>
  <c r="G17" i="43" a="1"/>
  <c r="C12" i="24"/>
  <c r="C8" i="24"/>
  <c r="K17" i="43" l="1"/>
  <c r="G17" i="43"/>
  <c r="C2" i="24"/>
  <c r="J17" i="43" a="1"/>
  <c r="H17" i="43"/>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0" i="24" a="1"/>
  <c r="K190" i="24" s="1"/>
  <c r="K182" i="24" a="1"/>
  <c r="K182" i="24" s="1"/>
  <c r="K175" i="24" a="1"/>
  <c r="K175" i="24" s="1"/>
  <c r="K184" i="24" a="1"/>
  <c r="K184" i="24" s="1"/>
  <c r="K185" i="24" a="1"/>
  <c r="K185" i="24" s="1"/>
  <c r="K183" i="24" a="1"/>
  <c r="K183" i="24" s="1"/>
  <c r="K191" i="24" a="1"/>
  <c r="K191" i="24" s="1"/>
  <c r="K181" i="24" a="1"/>
  <c r="K181" i="24" s="1"/>
  <c r="K188" i="24" a="1"/>
  <c r="K188" i="24" s="1"/>
  <c r="K186" i="24" a="1"/>
  <c r="K186" i="24" s="1"/>
  <c r="K202" i="24" a="1"/>
  <c r="K202" i="24" s="1"/>
  <c r="K199" i="24" a="1"/>
  <c r="K199" i="24" s="1"/>
  <c r="K201" i="24" a="1"/>
  <c r="K201" i="24" s="1"/>
  <c r="K203" i="24" a="1"/>
  <c r="K203" i="24" s="1"/>
  <c r="K200" i="24" a="1"/>
  <c r="K200" i="24" s="1"/>
  <c r="K192" i="24" a="1"/>
  <c r="K192" i="24" s="1"/>
  <c r="K194" i="24" a="1"/>
  <c r="K194" i="24" s="1"/>
  <c r="K193" i="24" a="1"/>
  <c r="K193" i="24" s="1"/>
  <c r="K180" i="24" a="1"/>
  <c r="K180" i="24" s="1"/>
  <c r="K179" i="24" a="1"/>
  <c r="K179" i="24" s="1"/>
  <c r="K176" i="24" a="1"/>
  <c r="K176" i="24" s="1"/>
  <c r="K178" i="24" a="1"/>
  <c r="K178" i="24" s="1"/>
  <c r="K177" i="24" a="1"/>
  <c r="K177" i="24" s="1"/>
  <c r="K196" i="24" a="1"/>
  <c r="K196" i="24" s="1"/>
  <c r="K195" i="24" a="1"/>
  <c r="K195" i="24" s="1"/>
  <c r="K197" i="24" a="1"/>
  <c r="K197" i="24" s="1"/>
  <c r="K198" i="24" a="1"/>
  <c r="K198"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8" i="24"/>
  <c r="B129" i="24"/>
  <c r="Q129" i="24"/>
  <c r="B51" i="24"/>
  <c r="D51" i="24" a="1"/>
  <c r="D51" i="24" s="1"/>
  <c r="N22" i="24" s="1" a="1"/>
  <c r="N22" i="24" s="1"/>
  <c r="E51" i="24" a="1"/>
  <c r="E51" i="24" s="1"/>
  <c r="F51" i="24" a="1"/>
  <c r="F51" i="24" s="1"/>
  <c r="B83" i="24"/>
  <c r="I83" i="24"/>
  <c r="J83" i="24" a="1"/>
  <c r="J83" i="24" s="1"/>
  <c r="L22" i="24" a="1"/>
  <c r="L22" i="24" s="1"/>
  <c r="M22" i="24" a="1"/>
  <c r="M22" i="24" s="1"/>
  <c r="P22" i="24" a="1"/>
  <c r="P22"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2" i="24"/>
  <c r="G234" i="24" l="1"/>
  <c r="G235" i="24"/>
  <c r="G236" i="24"/>
  <c r="G237" i="24"/>
  <c r="G238" i="24"/>
  <c r="G239" i="24"/>
  <c r="E234" i="24"/>
  <c r="E235" i="24"/>
  <c r="E236" i="24"/>
  <c r="E237" i="24"/>
  <c r="E238" i="24"/>
  <c r="E239" i="24"/>
  <c r="E242" i="24"/>
  <c r="G242" i="24" s="1"/>
  <c r="E243" i="24"/>
  <c r="G243" i="24" s="1"/>
  <c r="E244" i="24"/>
  <c r="G244" i="24" s="1"/>
  <c r="E245" i="24"/>
  <c r="G245" i="24" s="1"/>
  <c r="E246" i="24"/>
  <c r="G246" i="24" s="1"/>
  <c r="E247" i="24"/>
  <c r="G247"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9" i="24" l="1"/>
  <c r="D69" i="24" a="1"/>
  <c r="D69" i="24" s="1"/>
  <c r="N40" i="24" s="1" a="1"/>
  <c r="N40" i="24" s="1"/>
  <c r="E69" i="24" a="1"/>
  <c r="E69" i="24" s="1"/>
  <c r="F69" i="24" a="1"/>
  <c r="F69" i="24" s="1"/>
  <c r="A818" i="44"/>
  <c r="B818" i="44"/>
  <c r="C818" i="44"/>
  <c r="A819" i="44"/>
  <c r="B819" i="44"/>
  <c r="C819" i="44"/>
  <c r="B181" i="24"/>
  <c r="B188" i="24"/>
  <c r="A815" i="44"/>
  <c r="A816" i="44"/>
  <c r="A817" i="44"/>
  <c r="B815" i="44"/>
  <c r="B816" i="44"/>
  <c r="B817" i="44"/>
  <c r="C815" i="44"/>
  <c r="C816" i="44"/>
  <c r="C817" i="44"/>
  <c r="B157" i="24"/>
  <c r="B156" i="24"/>
  <c r="Q157" i="24"/>
  <c r="Q156" i="24"/>
  <c r="B196" i="24"/>
  <c r="B195" i="24"/>
  <c r="B197" i="24"/>
  <c r="B158" i="24"/>
  <c r="Q158" i="24"/>
  <c r="L40" i="24" a="1"/>
  <c r="L40" i="24" s="1"/>
  <c r="P40" i="24" a="1"/>
  <c r="P40" i="24" s="1"/>
  <c r="B117" i="24"/>
  <c r="I117" i="24"/>
  <c r="J117" i="24" a="1"/>
  <c r="J11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7" i="24" l="1" a="1"/>
  <c r="N227" i="24" s="1"/>
  <c r="N228" i="24" a="1"/>
  <c r="N228"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2" i="24"/>
  <c r="B243" i="24"/>
  <c r="B244" i="24"/>
  <c r="B245" i="24"/>
  <c r="B246" i="24"/>
  <c r="B247" i="24"/>
  <c r="F242" i="24"/>
  <c r="F243" i="24"/>
  <c r="F244" i="24"/>
  <c r="F245" i="24"/>
  <c r="F246" i="24"/>
  <c r="F247"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3" i="24"/>
  <c r="B212" i="24"/>
  <c r="B211" i="24"/>
  <c r="K15" i="43" a="1"/>
  <c r="J15" i="43" a="1"/>
  <c r="J15" i="43" l="1"/>
  <c r="M15" i="43" s="1"/>
  <c r="K15" i="43"/>
  <c r="B177" i="24"/>
  <c r="B193" i="24"/>
  <c r="B200" i="24"/>
  <c r="B186" i="24"/>
  <c r="G15" i="43" a="1"/>
  <c r="H15" i="43"/>
  <c r="G15" i="43" l="1"/>
  <c r="I15" i="43" s="1"/>
  <c r="L15" i="43"/>
  <c r="I81" i="24"/>
  <c r="I82" i="24"/>
  <c r="I93" i="24"/>
  <c r="I94" i="24"/>
  <c r="I95" i="24"/>
  <c r="I100" i="24"/>
  <c r="I101" i="24"/>
  <c r="I96" i="24"/>
  <c r="I97" i="24"/>
  <c r="I98" i="24"/>
  <c r="I99" i="24"/>
  <c r="I102" i="24"/>
  <c r="I103" i="24"/>
  <c r="I104" i="24"/>
  <c r="I106" i="24"/>
  <c r="I109" i="24"/>
  <c r="I110" i="24"/>
  <c r="I111" i="24"/>
  <c r="I112" i="24"/>
  <c r="I113" i="24"/>
  <c r="I114" i="24"/>
  <c r="I115" i="24"/>
  <c r="I116" i="24"/>
  <c r="I119" i="24"/>
  <c r="I120" i="24"/>
  <c r="I122" i="24"/>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9" i="24"/>
  <c r="J30" i="24"/>
  <c r="J45" i="24"/>
  <c r="J36" i="24"/>
  <c r="C5" i="24"/>
  <c r="J33" i="24"/>
  <c r="J43" i="24"/>
  <c r="J38" i="24"/>
  <c r="J13" i="43" a="1"/>
  <c r="J37" i="24"/>
  <c r="J27" i="24"/>
  <c r="J29" i="24"/>
  <c r="J31" i="24"/>
  <c r="J21" i="24"/>
  <c r="J28" i="24"/>
  <c r="K13" i="43" a="1"/>
  <c r="J42" i="24"/>
  <c r="K14" i="43" a="1"/>
  <c r="G14"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3" i="24" a="1"/>
  <c r="I44" i="24" a="1"/>
  <c r="I22" i="24" a="1"/>
  <c r="I40" i="24" a="1"/>
  <c r="I34" i="24" a="1"/>
  <c r="I33" i="24" a="1"/>
  <c r="I25" i="24" a="1"/>
  <c r="I21" i="24" a="1"/>
  <c r="I32" i="24" a="1"/>
  <c r="I42" i="24" a="1"/>
  <c r="I37" i="24" a="1"/>
  <c r="I26" i="24" a="1"/>
  <c r="I31" i="24" a="1"/>
  <c r="I27" i="24" a="1"/>
  <c r="I35" i="24" a="1"/>
  <c r="I39" i="24" a="1"/>
  <c r="I28" i="24" a="1"/>
  <c r="I43" i="24" a="1"/>
  <c r="I30" i="24" a="1"/>
  <c r="I45" i="24" a="1"/>
  <c r="I38" i="24" a="1"/>
  <c r="I36" i="24" a="1"/>
  <c r="I29" i="24" a="1"/>
  <c r="I24" i="24" a="1"/>
  <c r="I41"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2" i="24"/>
  <c r="B194" i="24"/>
  <c r="B180" i="24"/>
  <c r="B176" i="24"/>
  <c r="B178" i="24"/>
  <c r="B202" i="24"/>
  <c r="B199" i="24"/>
  <c r="B201" i="24"/>
  <c r="B203" i="24"/>
  <c r="F4" i="43"/>
  <c r="F5" i="43"/>
  <c r="F6" i="43"/>
  <c r="F7" i="43"/>
  <c r="B7" i="43"/>
  <c r="B4" i="46"/>
  <c r="B5" i="46"/>
  <c r="B6" i="46"/>
  <c r="B7" i="46"/>
  <c r="B8" i="46"/>
  <c r="B9" i="46"/>
  <c r="B10" i="46"/>
  <c r="B11" i="46"/>
  <c r="B12" i="46"/>
  <c r="B13" i="46"/>
  <c r="B14" i="46"/>
  <c r="B15" i="46"/>
  <c r="B16" i="46"/>
  <c r="B17" i="46"/>
  <c r="B18" i="46"/>
  <c r="B19" i="46"/>
  <c r="B20" i="46"/>
  <c r="G7" i="43" a="1"/>
  <c r="G9" i="43" a="1"/>
  <c r="K12" i="43" a="1"/>
  <c r="G4" i="43" a="1"/>
  <c r="G6" i="43" a="1"/>
  <c r="K10" i="43" a="1"/>
  <c r="K11" i="43" a="1"/>
  <c r="G12" i="43" a="1"/>
  <c r="K9" i="43" a="1"/>
  <c r="G5" i="43" a="1"/>
  <c r="G11" i="43" a="1"/>
  <c r="G10" i="43" a="1"/>
  <c r="K7"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4" i="43" a="1"/>
  <c r="H7" i="43"/>
  <c r="J9" i="43" a="1"/>
  <c r="J7" i="43" a="1"/>
  <c r="J6" i="43" a="1"/>
  <c r="J5" i="43" a="1"/>
  <c r="J12" i="43" a="1"/>
  <c r="J10"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1" i="24"/>
  <c r="B155" i="24"/>
  <c r="B162" i="24"/>
  <c r="B140" i="24"/>
  <c r="B143" i="24"/>
  <c r="B145" i="24"/>
  <c r="B148" i="24"/>
  <c r="B149" i="24"/>
  <c r="B139" i="24"/>
  <c r="B138" i="24"/>
  <c r="B165" i="24" l="1"/>
  <c r="B163" i="24"/>
  <c r="B164" i="24"/>
  <c r="B128" i="24"/>
  <c r="B127" i="24"/>
  <c r="B183" i="24"/>
  <c r="B185" i="24"/>
  <c r="B184"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9" i="24" l="1"/>
  <c r="D220" i="24"/>
  <c r="B221" i="24"/>
  <c r="B220" i="24"/>
  <c r="B219" i="24"/>
  <c r="B190" i="24" l="1"/>
  <c r="B182" i="24"/>
  <c r="B175" i="24"/>
  <c r="H12" i="43"/>
  <c r="I12" i="43" l="1"/>
  <c r="B169" i="24" l="1"/>
  <c r="B167" i="24"/>
  <c r="B168" i="24"/>
  <c r="B151" i="24"/>
  <c r="B154" i="24"/>
  <c r="B150" i="24"/>
  <c r="B153" i="24"/>
  <c r="B152" i="24"/>
  <c r="B141" i="24"/>
  <c r="B142" i="24"/>
  <c r="E253" i="24"/>
  <c r="E254" i="24"/>
  <c r="E255" i="24"/>
  <c r="E256" i="24"/>
  <c r="E257" i="24"/>
  <c r="E258" i="24"/>
  <c r="E259" i="24"/>
  <c r="D253" i="24"/>
  <c r="D254" i="24"/>
  <c r="D255" i="24"/>
  <c r="D256" i="24"/>
  <c r="D257" i="24"/>
  <c r="D258" i="24"/>
  <c r="D259" i="24"/>
  <c r="K27" i="24" a="1"/>
  <c r="K44" i="24" a="1"/>
  <c r="K25" i="24" a="1"/>
  <c r="K31" i="24" a="1"/>
  <c r="K41" i="24" a="1"/>
  <c r="K39" i="24" a="1"/>
  <c r="K45" i="24" a="1"/>
  <c r="K28" i="24" a="1"/>
  <c r="K34" i="24" a="1"/>
  <c r="K40" i="24" a="1"/>
  <c r="K30" i="24" a="1"/>
  <c r="K42" i="24" a="1"/>
  <c r="K33" i="24" a="1"/>
  <c r="K32" i="24" a="1"/>
  <c r="K26" i="24" a="1"/>
  <c r="H11" i="43"/>
  <c r="K43" i="24" a="1"/>
  <c r="K36" i="24" a="1"/>
  <c r="K37" i="24" a="1"/>
  <c r="K22" i="24" a="1"/>
  <c r="K35" i="24" a="1"/>
  <c r="K24" i="24" a="1"/>
  <c r="K29" i="24" a="1"/>
  <c r="K21" i="24" a="1"/>
  <c r="K38"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23" i="24" a="1"/>
  <c r="K6" i="43" a="1"/>
  <c r="K23" i="24" l="1"/>
  <c r="I6" i="43"/>
  <c r="K6" i="43"/>
  <c r="L6" i="43" s="1"/>
  <c r="B4" i="43"/>
  <c r="K4" i="43" a="1"/>
  <c r="K4" i="43" l="1"/>
  <c r="L4" i="43" s="1"/>
  <c r="B50" i="24"/>
  <c r="B56" i="24"/>
  <c r="B57" i="24"/>
  <c r="B59" i="24"/>
  <c r="B227" i="24"/>
  <c r="B228" i="24"/>
  <c r="B234" i="24"/>
  <c r="B235" i="24"/>
  <c r="B236" i="24"/>
  <c r="B237" i="24"/>
  <c r="B238" i="24"/>
  <c r="B239" i="24"/>
  <c r="B253" i="24"/>
  <c r="B254" i="24"/>
  <c r="B255" i="24"/>
  <c r="B256" i="24"/>
  <c r="B257" i="24"/>
  <c r="B258" i="24"/>
  <c r="B259" i="24"/>
  <c r="H10" i="43"/>
  <c r="H14" i="43"/>
  <c r="H4" i="43"/>
  <c r="H13" i="43"/>
  <c r="H16" i="43"/>
  <c r="I16" i="43" l="1"/>
  <c r="I13" i="43"/>
  <c r="I14" i="43"/>
  <c r="I10" i="43"/>
  <c r="I4" i="43"/>
  <c r="F235" i="24"/>
  <c r="F234" i="24"/>
  <c r="F237" i="24"/>
  <c r="F236" i="24"/>
  <c r="F239" i="24"/>
  <c r="F238"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6"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6"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4"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4"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4"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<sst xmlns="http://schemas.openxmlformats.org/spreadsheetml/2006/main" count="20734" uniqueCount="1432">
  <si>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</si>
  <si>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</si>
  <si>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</si>
  <si>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</si>
  <si>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</si>
  <si>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</si>
  <si>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</si>
  <si>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</si>
  <si>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</si>
  <si>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</si>
  <si>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</si>
  <si>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</si>
  <si>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</si>
  <si>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</si>
  <si>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</si>
  <si>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</si>
  <si>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</si>
  <si>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</si>
  <si>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</si>
  <si>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</si>
  <si>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</si>
  <si>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</si>
  <si>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</si>
  <si>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</si>
  <si>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</si>
  <si>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</si>
  <si>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</si>
  <si>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</si>
  <si>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</si>
  <si>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</si>
  <si>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</si>
  <si>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</si>
  <si>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</si>
  <si>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</si>
  <si>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</si>
  <si>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</si>
  <si>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</si>
  <si>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</si>
  <si>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</si>
  <si>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</si>
  <si>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</si>
  <si>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</si>
  <si>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</si>
  <si>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</si>
  <si>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</si>
  <si>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</si>
  <si>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</si>
  <si>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</si>
  <si>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</si>
  <si>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</si>
  <si>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</si>
  <si>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</si>
  <si>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</si>
  <si>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</si>
  <si>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</si>
  <si>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</si>
  <si>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</si>
  <si>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</si>
  <si>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</si>
  <si>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</si>
  <si>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</si>
  <si>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</si>
  <si>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</si>
  <si>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</si>
  <si>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</si>
  <si>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</si>
  <si>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</si>
  <si>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</si>
  <si>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</si>
  <si>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</si>
  <si>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</si>
  <si>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</si>
  <si>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</si>
  <si>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</si>
  <si>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</si>
  <si>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</si>
  <si>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</si>
  <si>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</si>
  <si>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</si>
  <si>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</si>
  <si>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</si>
  <si>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</si>
  <si>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</si>
  <si>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</si>
  <si>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</si>
  <si>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</si>
  <si>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</si>
  <si>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</si>
  <si>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</si>
  <si>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</si>
  <si>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</si>
  <si>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</si>
  <si>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</si>
  <si>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</si>
  <si>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</si>
  <si>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</si>
  <si>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</si>
  <si>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</si>
  <si>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</si>
  <si>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</si>
  <si>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</si>
  <si>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</si>
  <si>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</si>
  <si>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</si>
  <si>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</si>
  <si>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</si>
  <si>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</si>
  <si>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</si>
  <si>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</si>
  <si>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</si>
  <si>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</si>
  <si>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</si>
  <si>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</si>
  <si>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</si>
  <si>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</si>
  <si>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</si>
  <si>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</si>
  <si>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</si>
  <si>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</si>
  <si>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</si>
  <si>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</si>
  <si>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</si>
  <si>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</si>
  <si>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</si>
  <si>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</si>
  <si>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</si>
  <si>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</si>
  <si>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</si>
  <si>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</si>
  <si>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</si>
  <si>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</si>
  <si>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</si>
  <si>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</si>
  <si>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</si>
  <si>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</si>
  <si>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</si>
  <si>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</si>
  <si>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</si>
  <si>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</si>
  <si>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</si>
  <si>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</si>
  <si>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</si>
  <si>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</si>
  <si>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</si>
  <si>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</si>
  <si>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</si>
  <si>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</si>
  <si>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</si>
  <si>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</si>
  <si>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</si>
  <si>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</si>
  <si>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</si>
  <si>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</si>
  <si>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</si>
  <si>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</si>
  <si>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</si>
  <si>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</si>
  <si>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</si>
  <si>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</si>
  <si>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</si>
  <si>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</si>
  <si>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</si>
  <si>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</si>
  <si>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</si>
  <si>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</si>
  <si>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</si>
  <si>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</si>
  <si>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</si>
  <si>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</si>
  <si>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</si>
  <si>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</si>
  <si>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</si>
  <si>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</si>
  <si>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</si>
  <si>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</si>
  <si>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</si>
  <si>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</si>
  <si>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</si>
  <si>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</si>
  <si>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</si>
  <si>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</si>
  <si>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</si>
  <si>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</si>
  <si>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</si>
  <si>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</si>
  <si>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</si>
  <si>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</si>
  <si>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</si>
  <si>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</si>
  <si>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</si>
  <si>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</si>
  <si>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</si>
  <si>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</si>
  <si>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</si>
  <si>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</si>
  <si>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</si>
  <si>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</si>
  <si>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</si>
  <si>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</si>
  <si>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</si>
  <si>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</si>
  <si>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</si>
  <si>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</si>
  <si>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</si>
  <si>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</si>
  <si>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</si>
  <si>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</si>
  <si>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</si>
  <si>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</si>
  <si>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</si>
  <si>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</si>
  <si>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</si>
  <si>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</si>
  <si>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</si>
  <si>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</si>
  <si>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</si>
  <si>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</si>
  <si>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</si>
  <si>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</si>
  <si>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</si>
  <si>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</si>
  <si>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</si>
  <si>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</si>
  <si>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</si>
  <si>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</si>
  <si>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</si>
  <si>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</si>
  <si>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</si>
  <si>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</si>
  <si>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</si>
  <si>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</si>
  <si>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</si>
  <si>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</si>
  <si>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</si>
  <si>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</si>
  <si>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</si>
  <si>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</si>
  <si>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</si>
  <si>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</si>
  <si>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</si>
  <si>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</si>
  <si>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</si>
  <si>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</si>
  <si>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</si>
  <si>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</si>
  <si>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</si>
  <si>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</si>
  <si>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</si>
  <si>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</si>
  <si>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</si>
  <si>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</si>
  <si>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</si>
  <si>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</si>
  <si>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</si>
  <si>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</si>
  <si>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</si>
  <si>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</si>
  <si>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</si>
  <si>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</si>
  <si>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</si>
  <si>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</si>
  <si>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</si>
  <si>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</si>
  <si>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</si>
  <si>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</si>
  <si>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</si>
  <si>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</si>
  <si>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</si>
  <si>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</si>
  <si>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</si>
  <si>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</si>
  <si>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</si>
  <si>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</si>
  <si>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</si>
  <si>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</si>
  <si>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</si>
  <si>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</si>
  <si>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</si>
  <si>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</si>
  <si>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</si>
  <si>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</si>
  <si>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</si>
  <si>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</si>
  <si>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</si>
  <si>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</si>
  <si>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</si>
  <si>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</si>
  <si>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</si>
  <si>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</si>
  <si>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</si>
  <si>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</si>
  <si>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</si>
  <si>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</si>
  <si>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</si>
  <si>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</si>
  <si>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</si>
  <si>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</si>
  <si>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</si>
  <si>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</si>
  <si>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</si>
  <si>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</si>
  <si>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</si>
  <si>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</si>
  <si>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</si>
  <si>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</si>
  <si>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</si>
  <si>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</si>
  <si>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</si>
  <si>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</si>
  <si>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</si>
  <si>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</si>
  <si>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</si>
  <si>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</si>
  <si>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</si>
  <si>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</si>
  <si>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</si>
  <si>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</si>
  <si>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</si>
  <si>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</si>
  <si>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</si>
  <si>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</si>
  <si>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</si>
  <si>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</si>
  <si>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</si>
  <si>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</si>
  <si>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</si>
  <si>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</si>
  <si>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</si>
  <si>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</si>
  <si>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</si>
  <si>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</si>
  <si>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</si>
  <si>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</si>
  <si>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</si>
  <si>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</si>
  <si>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</si>
  <si>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</si>
  <si>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</si>
  <si>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</si>
  <si>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</si>
  <si>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</si>
  <si>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</si>
  <si>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</si>
  <si>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</si>
  <si>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</si>
  <si>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</si>
  <si>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</si>
  <si>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</si>
  <si>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</si>
  <si>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</si>
  <si>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</si>
  <si>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</si>
  <si>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</si>
  <si>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</si>
  <si>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</si>
  <si>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</si>
  <si>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</si>
  <si>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</si>
  <si>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</si>
  <si>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</si>
  <si>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</si>
  <si>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</si>
  <si>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</si>
  <si>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</si>
  <si>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</si>
  <si>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</si>
  <si>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</si>
  <si>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</si>
  <si>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</si>
  <si>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</si>
  <si>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</si>
  <si>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</si>
  <si>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</si>
  <si>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</si>
  <si>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</si>
  <si>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</si>
  <si>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</si>
  <si>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</si>
  <si>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</si>
  <si>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</si>
  <si>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</si>
  <si>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</si>
  <si>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</si>
  <si>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</si>
  <si>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</si>
  <si>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</si>
  <si>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</si>
  <si>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</si>
  <si>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</si>
  <si>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</si>
  <si>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</si>
  <si>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</si>
  <si>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</si>
  <si>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</si>
  <si>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</si>
  <si>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</si>
  <si>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</si>
  <si>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</si>
  <si>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</si>
  <si>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</si>
  <si>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</si>
  <si>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</si>
  <si>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</si>
  <si>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</si>
  <si>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</si>
  <si>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</si>
  <si>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</si>
  <si>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</si>
  <si>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</si>
  <si>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</si>
  <si>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</si>
  <si>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</si>
  <si>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</si>
  <si>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</si>
  <si>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</si>
  <si>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</si>
  <si>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</si>
  <si>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</si>
  <si>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</si>
  <si>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</si>
  <si>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</si>
  <si>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</si>
  <si>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</si>
  <si>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</si>
  <si>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</si>
  <si>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</si>
  <si>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</si>
  <si>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</si>
  <si>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</si>
  <si>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</si>
  <si>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</si>
  <si>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</si>
  <si>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</si>
  <si>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</si>
  <si>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</si>
  <si>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</si>
  <si>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</si>
  <si>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</si>
  <si>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</si>
  <si>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</si>
  <si>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</si>
  <si>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</si>
  <si>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</si>
  <si>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</si>
  <si>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</si>
  <si>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</si>
  <si>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</si>
  <si>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</si>
  <si>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</si>
  <si>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</si>
  <si>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</si>
  <si>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</si>
  <si>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</si>
  <si>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</si>
  <si>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</si>
  <si>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</si>
  <si>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</si>
  <si>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</si>
  <si>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</si>
  <si>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</si>
  <si>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</si>
  <si>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</si>
  <si>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</si>
  <si>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</si>
  <si>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</si>
  <si>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</si>
  <si>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</si>
  <si>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</si>
  <si>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</si>
  <si>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</si>
  <si>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</si>
  <si>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</si>
  <si>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</si>
  <si>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</si>
  <si>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</si>
  <si>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</si>
  <si>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</si>
  <si>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</si>
  <si>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</si>
  <si>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</si>
  <si>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</si>
  <si>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</si>
  <si>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</si>
  <si>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</si>
  <si>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</si>
  <si>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</si>
  <si>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</si>
  <si>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</si>
  <si>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</si>
  <si>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</si>
  <si>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</si>
  <si>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</si>
  <si>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</si>
  <si>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</si>
  <si>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</si>
  <si>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</si>
  <si>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</si>
  <si>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</si>
  <si>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</si>
  <si>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</si>
  <si>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</si>
  <si>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</si>
  <si>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</si>
  <si>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</si>
  <si>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</si>
  <si>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</si>
  <si>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</si>
  <si>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</si>
  <si>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</si>
  <si>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</si>
  <si>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</si>
  <si>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</si>
  <si>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</si>
  <si>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</si>
  <si>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</si>
  <si>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</si>
  <si>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</si>
  <si>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</si>
  <si>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</si>
  <si>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</si>
  <si>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</si>
  <si>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</si>
  <si>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</si>
  <si>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</si>
  <si>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</si>
  <si>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</si>
  <si>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</si>
  <si>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</si>
  <si>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</si>
  <si>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</si>
  <si>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</si>
  <si>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</si>
  <si>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</si>
  <si>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</si>
  <si>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</si>
  <si>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</si>
  <si>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</si>
  <si>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</si>
  <si>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</si>
  <si>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</si>
  <si>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</si>
  <si>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</si>
  <si>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</si>
  <si>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</si>
  <si>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</si>
  <si>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</si>
  <si>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</si>
  <si>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</si>
  <si>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</si>
  <si>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</si>
  <si>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</si>
  <si>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</si>
  <si>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</si>
  <si>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</si>
  <si>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</si>
  <si>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</si>
  <si>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</si>
  <si>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</si>
  <si>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</si>
  <si>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</si>
  <si>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</si>
  <si>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</si>
  <si>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</si>
  <si>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</si>
  <si>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</si>
  <si>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</si>
  <si>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</si>
  <si>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</si>
  <si>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</si>
  <si>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</si>
  <si>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</si>
  <si>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</si>
  <si>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</si>
  <si>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</si>
  <si>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</si>
  <si>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</si>
  <si>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</si>
  <si>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</si>
  <si>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</si>
  <si>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</si>
  <si>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</si>
  <si>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</si>
  <si>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</si>
  <si>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</si>
  <si>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</si>
  <si>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</si>
  <si>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</si>
  <si>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</si>
  <si>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</si>
  <si>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</si>
  <si>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</si>
  <si>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</si>
  <si>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</si>
  <si>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</si>
  <si>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</si>
  <si>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</si>
  <si>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</si>
  <si>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</si>
  <si>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</si>
  <si>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</si>
  <si>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</si>
  <si>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</si>
  <si>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</si>
  <si>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</si>
  <si>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</si>
  <si>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</si>
  <si>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</si>
  <si>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</si>
  <si>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</si>
  <si>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</si>
  <si>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</si>
  <si>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</si>
  <si>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</si>
  <si>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</si>
  <si>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</si>
  <si>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</si>
  <si>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</si>
  <si>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</si>
  <si>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</si>
  <si>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</si>
  <si>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</si>
  <si>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</si>
  <si>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</si>
  <si>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</si>
  <si>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</si>
  <si>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</si>
  <si>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</si>
  <si>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</si>
  <si>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</si>
  <si>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</si>
  <si>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</si>
  <si>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</si>
  <si>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</si>
  <si>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</si>
  <si>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</si>
  <si>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</si>
  <si>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</si>
  <si>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</si>
  <si>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</si>
  <si>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</si>
  <si>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</si>
  <si>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</si>
  <si>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</si>
  <si>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</si>
  <si>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</si>
  <si>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</si>
  <si>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</si>
  <si>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</si>
  <si>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</si>
  <si>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</si>
  <si>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</si>
  <si>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</si>
  <si>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</si>
  <si>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</si>
  <si>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</si>
  <si>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</si>
  <si>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</si>
  <si>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</si>
  <si>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</si>
  <si>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</si>
  <si>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</si>
  <si>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</si>
  <si>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</si>
  <si>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</si>
  <si>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</si>
  <si>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</si>
  <si>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</si>
  <si>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</si>
  <si>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</si>
  <si>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</si>
  <si>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</si>
  <si>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</si>
  <si>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</si>
  <si>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</si>
  <si>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</si>
  <si>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</si>
  <si>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</si>
  <si>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</si>
  <si>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</si>
  <si>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</si>
  <si>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</si>
  <si>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</si>
  <si>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</si>
  <si>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</si>
  <si>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</si>
  <si>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</si>
  <si>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</si>
  <si>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</si>
  <si>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</si>
  <si>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</si>
  <si>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</si>
  <si>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</si>
  <si>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</si>
  <si>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</si>
  <si>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</si>
  <si>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</si>
  <si>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</si>
  <si>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</si>
  <si>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</si>
  <si>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</si>
  <si>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</si>
  <si>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</si>
  <si>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</si>
  <si>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</si>
  <si>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</si>
  <si>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</si>
  <si>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</si>
  <si>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</si>
  <si>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</si>
  <si>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</si>
  <si>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</si>
  <si>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</si>
  <si>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</si>
  <si>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</si>
  <si>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</si>
  <si>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</si>
  <si>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</si>
  <si>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</si>
  <si>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</si>
  <si>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</si>
  <si>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</si>
  <si>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</si>
  <si>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</si>
  <si>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</si>
  <si>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</si>
  <si>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</si>
  <si>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</si>
  <si>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</si>
  <si>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</si>
  <si>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</si>
  <si>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</si>
  <si>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</si>
  <si>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</si>
  <si>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</si>
  <si>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</si>
  <si>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</si>
  <si>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</si>
  <si>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</si>
  <si>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</si>
  <si>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</si>
  <si>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</si>
  <si>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</si>
  <si>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</si>
  <si>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</si>
  <si>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</si>
  <si>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</si>
  <si>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</si>
  <si>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</si>
  <si>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</si>
  <si>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</si>
  <si>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</si>
  <si>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</si>
  <si>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</si>
  <si>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</si>
  <si>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</si>
  <si>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</si>
  <si>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</si>
  <si>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</si>
  <si>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</si>
  <si>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</si>
  <si>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</si>
  <si>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</si>
  <si>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</si>
  <si>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</si>
  <si>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</si>
  <si>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</si>
  <si>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</si>
  <si>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</si>
  <si>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</si>
  <si>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</si>
  <si>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</si>
  <si>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</si>
  <si>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</si>
  <si>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</si>
  <si>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</si>
  <si>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</si>
  <si>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</si>
  <si>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</si>
  <si>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</si>
  <si>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</si>
  <si>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</si>
  <si>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</si>
  <si>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</si>
  <si>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</si>
  <si>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</si>
  <si>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</si>
  <si>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</si>
  <si>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</si>
  <si>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</si>
  <si>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</si>
  <si>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</si>
  <si>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</si>
  <si>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</si>
  <si>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</si>
  <si>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</si>
  <si>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</si>
  <si>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</si>
  <si>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</si>
  <si>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</si>
  <si>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</si>
  <si>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</si>
  <si>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</si>
  <si>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</si>
  <si>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</si>
  <si>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</si>
  <si>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</si>
  <si>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</si>
  <si>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</si>
  <si>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</si>
  <si>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</si>
  <si>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</si>
  <si>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</si>
  <si>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</si>
  <si>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</si>
  <si>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</si>
  <si>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</si>
  <si>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</si>
  <si>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</si>
  <si>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</si>
  <si>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</si>
  <si>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</si>
  <si>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</si>
  <si>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</si>
  <si>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</si>
  <si>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</si>
  <si>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</si>
  <si>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</si>
  <si>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</si>
  <si>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</si>
  <si>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</si>
  <si>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</si>
  <si>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</si>
  <si>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</si>
  <si>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</si>
  <si>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</si>
  <si>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</si>
  <si>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</si>
  <si>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</si>
  <si>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</si>
  <si>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</si>
  <si>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</si>
  <si>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</si>
  <si>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</si>
  <si>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</si>
  <si>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</si>
  <si>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</si>
  <si>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</si>
  <si>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</si>
  <si>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</si>
  <si>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</si>
  <si>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</si>
  <si>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</si>
  <si>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</si>
  <si>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</si>
  <si>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</si>
  <si>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</si>
  <si>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</si>
  <si>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</si>
  <si>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</si>
  <si>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</si>
  <si>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</si>
  <si>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</si>
  <si>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</si>
  <si>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</si>
  <si>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</si>
  <si>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</si>
  <si>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</si>
  <si>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</si>
  <si>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</si>
  <si>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</si>
  <si>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</si>
  <si>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</si>
  <si>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</si>
  <si>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</si>
  <si>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</si>
  <si>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</si>
  <si>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</si>
  <si>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</si>
  <si>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</si>
  <si>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</si>
  <si>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</si>
  <si>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</si>
  <si>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</si>
  <si>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</si>
  <si>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</si>
  <si>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</si>
  <si>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</si>
  <si>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</si>
  <si>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</si>
  <si>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</si>
  <si>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</si>
  <si>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</si>
  <si>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</si>
  <si>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</si>
  <si>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</si>
  <si>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</si>
  <si>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</si>
  <si>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</si>
  <si>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</si>
  <si>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</si>
  <si>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</si>
  <si>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</si>
  <si>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</si>
  <si>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</si>
  <si>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</si>
  <si>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</si>
  <si>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</si>
  <si>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</si>
  <si>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</si>
  <si>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</si>
  <si>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</si>
  <si>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</si>
  <si>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</si>
  <si>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</si>
  <si>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</si>
  <si>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</si>
  <si>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</si>
  <si>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</si>
  <si>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</si>
  <si>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</si>
  <si>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</si>
  <si>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</si>
  <si>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</si>
  <si>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</si>
  <si>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</si>
  <si>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</si>
  <si>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</si>
  <si>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</si>
  <si>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</si>
  <si>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</si>
  <si>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</si>
  <si>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</si>
  <si>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</si>
  <si>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</si>
  <si>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</si>
  <si>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</si>
  <si>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</si>
  <si>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</si>
  <si>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</si>
  <si>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</si>
  <si>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</si>
  <si>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</si>
  <si>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</si>
  <si>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</si>
  <si>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</si>
  <si>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</si>
  <si>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</si>
  <si>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</si>
  <si>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</si>
  <si>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</si>
  <si>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</si>
  <si>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</si>
  <si>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</si>
  <si>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</si>
  <si>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</si>
  <si>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</si>
  <si>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</si>
  <si>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</si>
  <si>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</si>
  <si>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</si>
  <si>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</si>
  <si>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</si>
  <si>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</si>
  <si>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</si>
  <si>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</si>
  <si>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</si>
  <si>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</si>
  <si>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</si>
  <si>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</si>
  <si>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</si>
  <si>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</si>
  <si>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</si>
  <si>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</si>
  <si>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</si>
  <si>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</si>
  <si>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</si>
  <si>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</si>
  <si>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</si>
  <si>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</si>
  <si>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</si>
  <si>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</si>
  <si>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</si>
  <si>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</si>
  <si>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</si>
  <si>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</si>
  <si>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</si>
  <si>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</si>
  <si>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</si>
  <si>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</si>
  <si>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</si>
  <si>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</si>
  <si>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</si>
  <si>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</si>
  <si>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</si>
  <si>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</si>
  <si>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</si>
  <si>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</si>
  <si>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</si>
  <si>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</si>
  <si>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</si>
  <si>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</si>
  <si>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</si>
  <si>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</si>
  <si>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</si>
  <si>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</si>
  <si>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</si>
  <si>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</si>
  <si>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</si>
  <si>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</si>
  <si>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</si>
  <si>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</si>
  <si>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</si>
  <si>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</si>
  <si>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</si>
  <si>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</si>
  <si>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</si>
  <si>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</si>
  <si>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</si>
  <si>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</si>
  <si>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</si>
  <si>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</si>
  <si>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</si>
  <si>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</si>
  <si>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</si>
  <si>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</si>
  <si>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</si>
  <si>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</si>
  <si>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</si>
  <si>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</si>
  <si>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</si>
  <si>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</si>
  <si>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</si>
  <si>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</si>
  <si>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</si>
  <si>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</si>
  <si>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</si>
  <si>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</si>
  <si>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</si>
  <si>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</si>
  <si>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</si>
  <si>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</si>
  <si>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</si>
  <si>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</si>
  <si>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</si>
  <si>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</si>
  <si>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</si>
  <si>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</si>
  <si>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</si>
  <si>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</si>
  <si>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</si>
  <si>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</si>
  <si>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</si>
  <si>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</si>
  <si>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</si>
  <si>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</si>
  <si>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</si>
  <si>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</si>
  <si>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</si>
  <si>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</si>
  <si>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</si>
  <si>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</si>
  <si>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</si>
  <si>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</si>
  <si>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</si>
  <si>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</si>
  <si>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</si>
  <si>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</si>
  <si>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</si>
  <si>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</si>
  <si>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</si>
  <si>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</si>
  <si>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</si>
  <si>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</si>
  <si>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</si>
  <si>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</si>
  <si>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</si>
  <si>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</si>
  <si>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</si>
  <si>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</si>
  <si>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</si>
  <si>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</si>
  <si>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</si>
  <si>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</si>
  <si>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</si>
  <si>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</si>
  <si>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</si>
  <si>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</si>
  <si>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</si>
  <si>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</si>
  <si>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</si>
  <si>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</si>
  <si>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</si>
  <si>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</si>
  <si>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</si>
  <si>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</si>
  <si>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</si>
  <si>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</si>
  <si>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</si>
  <si>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</si>
  <si>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</si>
  <si>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</si>
  <si>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</si>
  <si>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</si>
  <si>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</si>
  <si>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</si>
  <si>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</si>
  <si>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</si>
  <si>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</si>
  <si>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</si>
  <si>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</si>
  <si>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</si>
  <si>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</si>
  <si>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</si>
  <si>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</si>
  <si>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</si>
  <si>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</si>
  <si>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</si>
  <si>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</si>
  <si>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</si>
  <si>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</si>
  <si>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</si>
  <si>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</si>
  <si>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</si>
  <si>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</si>
  <si>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</si>
  <si>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</si>
  <si>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</si>
  <si>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</si>
  <si>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</si>
  <si>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</si>
  <si>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</si>
  <si>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</si>
  <si>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</si>
  <si>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</si>
  <si>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</si>
  <si>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</si>
  <si>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</si>
  <si>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</si>
  <si>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</si>
  <si>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</si>
  <si>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</si>
  <si>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</si>
  <si>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</si>
  <si>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</si>
  <si>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</si>
  <si>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</si>
  <si>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</si>
  <si>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</si>
  <si>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</si>
  <si>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</si>
  <si>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</si>
  <si>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</si>
  <si>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</si>
  <si>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</si>
  <si>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</si>
  <si>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</si>
  <si>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</si>
  <si>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</si>
  <si>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</si>
  <si>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</si>
  <si>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</si>
  <si>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</si>
  <si>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</si>
  <si>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</si>
  <si>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</si>
  <si>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</si>
  <si>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</si>
  <si>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</si>
  <si>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</si>
  <si>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</si>
  <si>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</si>
  <si>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</si>
  <si>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</si>
  <si>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</si>
  <si>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</si>
  <si>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</si>
  <si>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</si>
  <si>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</si>
  <si>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</si>
  <si>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</si>
  <si>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</si>
  <si>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</si>
  <si>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</si>
  <si>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</si>
  <si>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</si>
  <si>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</si>
  <si>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</si>
  <si>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</si>
  <si>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</si>
  <si>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</si>
  <si>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</si>
  <si>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</si>
  <si>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</si>
  <si>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</si>
  <si>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</si>
  <si>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</si>
  <si>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</si>
  <si>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</si>
  <si>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</si>
  <si>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</si>
  <si>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</si>
  <si>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</si>
  <si>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</si>
  <si>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</si>
  <si>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</si>
  <si>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</si>
  <si>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</si>
  <si>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</si>
  <si>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</si>
  <si>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</si>
  <si>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</si>
  <si>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</si>
  <si>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</si>
  <si>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</si>
  <si>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</si>
  <si>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</si>
  <si>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</si>
  <si>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</si>
  <si>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</si>
  <si>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</si>
  <si>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</si>
  <si>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</si>
  <si>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</si>
  <si>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</si>
  <si>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</si>
  <si>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</si>
  <si>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</si>
  <si>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</si>
  <si>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</si>
  <si>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</si>
  <si>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</si>
  <si>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</si>
  <si>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</si>
  <si>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</si>
  <si>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</si>
  <si>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</si>
  <si>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</si>
  <si>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</si>
  <si>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</si>
  <si>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</si>
  <si>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</si>
  <si>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</si>
  <si>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</si>
  <si>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</si>
  <si>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</si>
  <si>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</si>
  <si>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</si>
  <si>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</si>
  <si>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</si>
  <si>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</si>
  <si>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</si>
  <si>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</si>
  <si>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</si>
  <si>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</si>
  <si>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</si>
  <si>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</si>
  <si>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</si>
  <si>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</si>
  <si>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</si>
  <si>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</si>
  <si>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</si>
  <si>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</si>
  <si>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</si>
  <si>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</si>
  <si>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</si>
  <si>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</si>
  <si>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</si>
  <si>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</si>
  <si>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</si>
  <si>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</si>
  <si>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</si>
  <si>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</si>
  <si>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</si>
  <si>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</si>
  <si>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</si>
  <si>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</si>
  <si>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</si>
  <si>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</si>
  <si>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</si>
  <si>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</si>
  <si>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</si>
  <si>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</si>
  <si>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</si>
  <si>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</si>
  <si>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</si>
  <si>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</si>
  <si>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</si>
  <si>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</si>
  <si>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</si>
  <si>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</si>
  <si>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</si>
  <si>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</si>
  <si>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</si>
  <si>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</si>
  <si>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</si>
  <si>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</si>
  <si>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</si>
  <si>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</si>
  <si>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</si>
  <si>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</si>
  <si>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</si>
  <si>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</si>
  <si>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</si>
  <si>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</si>
  <si>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</si>
  <si>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</si>
  <si>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</si>
  <si>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</si>
  <si>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</si>
  <si>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</si>
  <si>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</si>
  <si>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</si>
  <si>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</si>
  <si>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</si>
  <si>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</si>
  <si>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</si>
  <si>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</si>
  <si>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</si>
  <si>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</si>
  <si>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</si>
  <si>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</si>
  <si>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</si>
  <si>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</si>
  <si>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</si>
  <si>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</si>
  <si>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</si>
  <si>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</si>
  <si>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</si>
  <si>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</si>
  <si>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</si>
  <si>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</si>
  <si>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</si>
  <si>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</si>
  <si>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</si>
  <si>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</si>
  <si>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</si>
  <si>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</si>
  <si>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</si>
  <si>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</si>
  <si>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</si>
  <si>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</si>
  <si>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</si>
  <si>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</si>
  <si>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</si>
  <si>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</si>
  <si>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</si>
  <si>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</si>
  <si>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</si>
  <si>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</si>
  <si>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</si>
  <si>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</si>
  <si>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</si>
  <si>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</si>
  <si>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</si>
  <si>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</si>
  <si>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</si>
  <si>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</si>
  <si>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</si>
  <si>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</si>
  <si>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</si>
  <si>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</si>
  <si>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</si>
  <si>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</si>
  <si>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</si>
  <si>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</si>
  <si>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</si>
  <si>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</si>
  <si>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</si>
  <si>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</si>
  <si>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</si>
  <si>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</si>
  <si>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</si>
  <si>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</si>
  <si>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</si>
  <si>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</si>
  <si>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</si>
  <si>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</si>
  <si>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</si>
  <si>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</si>
  <si>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</si>
  <si>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</si>
  <si>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</si>
  <si>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</si>
  <si>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</si>
  <si>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</si>
  <si>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</si>
  <si>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</si>
  <si>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</si>
  <si>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</si>
  <si>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</si>
  <si>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</si>
  <si>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</si>
  <si>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</si>
  <si>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</si>
  <si>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</si>
  <si>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</si>
  <si>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</si>
  <si>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</si>
  <si>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</si>
  <si>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</si>
  <si>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</si>
  <si>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</si>
  <si>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</si>
  <si>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</si>
  <si>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</si>
  <si>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</si>
  <si>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</si>
  <si>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</si>
  <si>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</si>
  <si>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</si>
  <si>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</si>
  <si>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</si>
  <si>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</si>
  <si>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</si>
  <si>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</si>
  <si>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</si>
  <si>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</si>
  <si>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</si>
  <si>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</si>
  <si>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</si>
  <si>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</si>
  <si>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</si>
  <si>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</si>
  <si>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</si>
  <si>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</si>
  <si>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SLR Scalars</t>
  </si>
  <si>
    <t>Scalars for SLR sectors past 2090</t>
  </si>
  <si>
    <t>refYear</t>
  </si>
  <si>
    <t>c2</t>
  </si>
  <si>
    <t>Info on SLR scalars past 2090</t>
  </si>
  <si>
    <t>co_slrScalars</t>
  </si>
  <si>
    <t>Table with info about SLR scalars past 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</si>
</sst>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5">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4"/>
    </tableStyle>
    <tableStyle name="Table Style 2" pivot="0" count="2" xr9:uid="{5906E8DD-1157-4888-9A27-3B2DB57DF7A2}">
      <tableStyleElement type="wholeTable" dxfId="313"/>
      <tableStyleElement type="headerRow" dxfId="31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1">
  <autoFilter ref="B9:C34" xr:uid="{DBDF25E7-D35C-4344-9B72-491345FCBF34}"/>
  <tableColumns count="2">
    <tableColumn id="1" xr3:uid="{306AD3FA-EE0B-4D9C-828A-C0B76198AE0B}" name="Worksheet" dataDxfId="310"/>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9" dataDxfId="308">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7">
      <calculatedColumnFormula xml:space="preserve"> ROW( doc_tablesList[[#This Row],[ID]] ) - ROW(doc_tablesList[[#Headers],[ID]] )</calculatedColumnFormula>
    </tableColumn>
    <tableColumn id="2" xr3:uid="{238E4D6F-DBDF-41A4-8350-E77587A7D4B3}" name="Table Name" dataDxfId="306"/>
    <tableColumn id="8" xr3:uid="{D46F7497-B3FD-485E-91E8-C8117D6673FA}" name="Import" dataDxfId="305"/>
    <tableColumn id="3" xr3:uid="{39F2BFBD-30E6-473D-B9E5-9F407D5928C3}" name="Worksheet" dataDxfId="304"/>
    <tableColumn id="9" xr3:uid="{507E67A6-0C2B-4342-A04B-6A8E615993E3}" name="ID_columnName" dataDxfId="303">
      <calculatedColumnFormula xml:space="preserve"> "row_id"</calculatedColumnFormula>
    </tableColumn>
    <tableColumn id="4" xr3:uid="{961C935C-163D-4860-BA16-6CB492916203}" name="Header Row" dataDxfId="302">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1">
      <calculatedColumnFormula xml:space="preserve"> MAX( INDIRECT( _xlfn.TEXTJOIN( "", , doc_tablesList[[#This Row],[Table Name]], "[", doc_tablesList[[#This Row],[ID_columnName]], "]" ) ) )</calculatedColumnFormula>
    </tableColumn>
    <tableColumn id="13" xr3:uid="{F53E64F1-7445-4927-A376-2FB765265648}" name="Last Row" dataDxfId="300">
      <calculatedColumnFormula xml:space="preserve"> doc_tablesList[[#This Row],[Number of Data Rows]] + doc_tablesList[[#This Row],[Header Row]]</calculatedColumnFormula>
    </tableColumn>
    <tableColumn id="6" xr3:uid="{86A51CF5-A3BA-4019-9C90-7A94C7FBA534}" name="id_colIndex" dataDxfId="299">
      <calculatedColumnFormula array="1" xml:space="preserve"> INDEX( COLUMN( INDIRECT( doc_tablesList[[#This Row],[Table Name]] &amp; "[" &amp; doc_tablesList[[#This Row],[ID_columnName]] &amp; "]" ) ), 1 )</calculatedColumnFormula>
    </tableColumn>
    <tableColumn id="7" xr3:uid="{DD29767F-0B22-4C97-9012-467EF6380323}" name="last_colIndex" dataDxfId="298">
      <calculatedColumnFormula array="1" xml:space="preserve"> MAX( COLUMN( INDIRECT( doc_tablesList[[#This Row],[Table Name]] ) ) )</calculatedColumnFormula>
    </tableColumn>
    <tableColumn id="12" xr3:uid="{7F09C7E5-85E6-4334-8C65-926F0EE13A13}" name="num_tableCols" dataDxfId="297">
      <calculatedColumnFormula xml:space="preserve"> doc_tablesList[[#This Row],[last_colIndex]] - doc_tablesList[[#This Row],[id_colIndex]] + 1</calculatedColumnFormula>
    </tableColumn>
    <tableColumn id="11" xr3:uid="{C4016964-772D-4CB1-A4CA-7E815387BA94}" name="excludeCol_ids" dataDxfId="296"/>
    <tableColumn id="10" xr3:uid="{1AD286DF-FF1E-4EA7-92C2-04966DE58B94}" name="Notes" dataDxfId="295"/>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4" dataDxfId="293">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2">
      <calculatedColumnFormula xml:space="preserve"> ROW( testDev[[#This Row],[row_id]] ) - ROW(testDev[[#Headers],[row_id]] )</calculatedColumnFormula>
    </tableColumn>
    <tableColumn id="2" xr3:uid="{724C3667-B22B-4E0E-A26D-84EB27DA32DC}" name="Table Name" dataDxfId="291"/>
    <tableColumn id="8" xr3:uid="{2DE33227-E2C9-4F8F-BDC2-7C7EB619B32B}" name="Changes if new sector added" dataDxfId="290"/>
    <tableColumn id="3" xr3:uid="{91AE5770-239D-41B2-B469-E73127600B2A}" name="New sector changes" dataDxfId="289"/>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8" dataDxfId="286" headerRowBorderDxfId="287" tableBorderDxfId="285" totalsRowBorderDxfId="284">
  <sortState xmlns:xlrd2="http://schemas.microsoft.com/office/spreadsheetml/2017/richdata2" ref="B21:Q45">
    <sortCondition ref="D21:D45"/>
  </sortState>
  <tableColumns count="16">
    <tableColumn id="14" xr3:uid="{60C3EA8F-72E0-495B-8B73-6D682443C60B}" name="row_id" dataDxfId="283" totalsRowDxfId="282">
      <calculatedColumnFormula xml:space="preserve"> ROW( co_sectors[[#This Row],[row_id]] ) - ROW( co_sectors[[#Headers],[row_id]] )</calculatedColumnFormula>
    </tableColumn>
    <tableColumn id="1" xr3:uid="{05E901B8-39C9-4448-8C69-F1824616C5B3}" name="sector_id" dataDxfId="281" totalsRowDxfId="280"/>
    <tableColumn id="2" xr3:uid="{8435BE36-75E6-4124-BCAF-A700C82839D8}" name="sector_label" dataDxfId="279" totalsRowDxfId="278"/>
    <tableColumn id="6" xr3:uid="{2BB914B0-56FF-4336-B8AD-DDDF5E8FE532}" name="include" dataDxfId="277" totalsRowDxfId="276"/>
    <tableColumn id="8" xr3:uid="{18B4827C-060D-4556-903A-BB8A82781CB7}" name="modelType" dataDxfId="275" totalsRowDxfId="274"/>
    <tableColumn id="12" xr3:uid="{5469339C-733E-42AE-A900-9ED6C4EB5971}" name="byState" dataDxfId="273" totalsRowDxfId="272"/>
    <tableColumn id="9" xr3:uid="{031B452A-F7AD-42C2-B528-CC3050A26AA0}" name="interpolateEstimateYears" dataDxfId="271" totalsRowDxfId="270">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9" totalsRowDxfId="268">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7" totalsRowDxfId="266">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5" totalsRowDxfId="264">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3" totalsRowDxfId="262">
      <calculatedColumnFormula array="1" xml:space="preserve"> SUMPRODUCT( --( co_sectors[[#This Row],[sector_id]] = co_variants[sector_id] ) )</calculatedColumnFormula>
    </tableColumn>
    <tableColumn id="11" xr3:uid="{5F0E2743-320C-46C8-BF83-E0748C4ED15D}" name="Number of impact types" dataDxfId="261" totalsRowDxfId="260">
      <calculatedColumnFormula array="1" xml:space="preserve"> SUMPRODUCT( --( co_sectors[[#This Row],[sector_id]] = co_impactTypes[sector_id] ) )</calculatedColumnFormula>
    </tableColumn>
    <tableColumn id="13" xr3:uid="{39CDE92C-BE84-47A0-A80A-EB0EC7367742}" name="Number of impact years" dataDxfId="259" totalsRowDxfId="258">
      <calculatedColumnFormula array="1" xml:space="preserve"> IF( INDEX( co_impactYears[N/A], MATCH( 1, --( co_sectors[[#This Row],[sector_id]] = co_impactYears[sector_id] ), 0 ) ) = "N/A", 1, 2 )</calculatedColumnFormula>
    </tableColumn>
    <tableColumn id="16" xr3:uid="{E3198681-898F-4937-B8ED-BD8ED473A1BE}" name="Number of models" dataDxfId="257" totalsRowDxfId="256">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5" totalsRowDxfId="254">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3" totalsRowDxfId="252">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6:N228" totalsRowShown="0" headerRowDxfId="251" dataDxfId="250">
  <tableColumns count="13">
    <tableColumn id="1" xr3:uid="{11DFD282-93A9-4795-9369-6627D14BB282}" name="row_id" dataDxfId="249">
      <calculatedColumnFormula xml:space="preserve"> ROW( co_modelTypes[[#This Row],[row_id]] ) - ROW( co_modelTypes[[#Headers],[row_id]] )</calculatedColumnFormula>
    </tableColumn>
    <tableColumn id="5" xr3:uid="{083A43A4-471A-4911-84CB-93A1DE17EDC1}" name="modelType_id" dataDxfId="248"/>
    <tableColumn id="6" xr3:uid="{5A95B322-31B8-49BE-B215-52BB75258F9F}" name="modelType_label" dataDxfId="247"/>
    <tableColumn id="2" xr3:uid="{7172DDAD-67EF-469B-A2DF-E5E2773966BC}" name="modelUnit_id" dataDxfId="246"/>
    <tableColumn id="8" xr3:uid="{0E585296-9334-4F27-8B15-1B944CD33E6C}" name="modelUnit_label" dataDxfId="245"/>
    <tableColumn id="3" xr3:uid="{540088D4-3239-4E2E-B19D-9DEA7196BB93}" name="modelUnitType" dataDxfId="244"/>
    <tableColumn id="7" xr3:uid="{EDB25577-4E2B-4262-9DF5-F68DC828D4E8}" name="modelUnitDesc" dataDxfId="243"/>
    <tableColumn id="4" xr3:uid="{72573958-4C31-41E8-A620-C05E0EAD6C20}" name="modelRefYear" dataDxfId="242"/>
    <tableColumn id="14" xr3:uid="{24E03EC5-2F20-4779-B9C9-9AA4430B9341}" name="modelMaxOutput" dataDxfId="241"/>
    <tableColumn id="9" xr3:uid="{537B6620-4A1F-465E-B24B-88B4E9CB99EF}" name="modelMaxExtrap" dataDxfId="240"/>
    <tableColumn id="10" xr3:uid="{5F1496AF-7FEE-4618-AAE6-2E8C8F5433BE}" name="modelUnitScale" dataDxfId="239"/>
    <tableColumn id="13" xr3:uid="{2D80CF7B-1072-423B-9E13-7F9B3844DD63}" name="Number of levels" dataDxfId="238"/>
    <tableColumn id="12" xr3:uid="{D1A4CB2D-7AE0-4E8A-AC5A-FA532FF3EFB2}" name="Number of models" dataDxfId="237">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2:E259" totalsRowShown="0" headerRowDxfId="236" dataDxfId="235">
  <tableColumns count="4">
    <tableColumn id="1" xr3:uid="{18599272-3810-42BA-A220-485AFB1D6807}" name="row_id" dataDxfId="234">
      <calculatedColumnFormula xml:space="preserve"> ROW( co_regions[[#This Row],[row_id]] ) - ROW( co_regions[[#Headers],[row_id]] )</calculatedColumnFormula>
    </tableColumn>
    <tableColumn id="3" xr3:uid="{56B07D04-3458-4687-B04E-181849066DB3}" name="region_label" dataDxfId="233"/>
    <tableColumn id="4" xr3:uid="{C002439A-2823-4374-8AD2-D03BE0946361}" name="region_dot" dataDxfId="232">
      <calculatedColumnFormula xml:space="preserve"> SUBSTITUTE( co_regions[[#This Row],[region_label]], " ", "." )</calculatedColumnFormula>
    </tableColumn>
    <tableColumn id="5" xr3:uid="{FFA64F27-24E0-4D92-8E8A-6A4675CEB856}" name="region_underscore" dataDxfId="231">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3:G247" totalsRowShown="0" headerRowDxfId="230" dataDxfId="229">
  <tableColumns count="6">
    <tableColumn id="1" xr3:uid="{BF1485BD-F9FE-4F5B-9D9F-D9CB3D918F44}" name="row_id" dataDxfId="228">
      <calculatedColumnFormula xml:space="preserve"> ROW( co_models[[#This Row],[row_id]] ) - ROW( co_models[[#Headers],[row_id]] )</calculatedColumnFormula>
    </tableColumn>
    <tableColumn id="2" xr3:uid="{A209304D-718C-45BB-922A-A83B3EC89858}" name="model_id" dataDxfId="227"/>
    <tableColumn id="20" xr3:uid="{A1F83970-3B0E-4464-8376-1B37DBE20974}" name="modelType" dataDxfId="226"/>
    <tableColumn id="4" xr3:uid="{07FC9EA5-74D5-4155-BD5E-E00DD3D52BAE}" name="model_dot" dataDxfId="225">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4">
      <calculatedColumnFormula xml:space="preserve"> SUBSTITUTE( co_models[[#This Row],[model_dot]], ".", "_" )</calculatedColumnFormula>
    </tableColumn>
    <tableColumn id="3" xr3:uid="{F9DE0808-4FD0-4FB6-9363-B580ED760D5C}" name="model_label" dataDxfId="223">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2" dataDxfId="221">
  <autoFilter ref="B49:F74" xr:uid="{965CD6B2-887D-46C8-9D98-6C6AECBC7B1A}"/>
  <sortState xmlns:xlrd2="http://schemas.microsoft.com/office/spreadsheetml/2017/richdata2" ref="B50:F74">
    <sortCondition ref="C50:C74"/>
  </sortState>
  <tableColumns count="5">
    <tableColumn id="1" xr3:uid="{CDF8B6C0-3166-4A5F-954A-6DD921A48F0D}" name="row_id" dataDxfId="220" totalsRowDxfId="219">
      <calculatedColumnFormula xml:space="preserve"> ROW( co_impactYears[[#This Row],[row_id]] ) - ROW(co_impactYears[[#Headers],[row_id]] )</calculatedColumnFormula>
    </tableColumn>
    <tableColumn id="2" xr3:uid="{CE04D22F-F326-49F0-9B89-F7BBAC07F272}" name="sector_id" dataDxfId="218" totalsRowDxfId="217"/>
    <tableColumn id="4" xr3:uid="{D085A6D5-2B6A-46B4-9638-D837648BB08B}" name="N/A" dataDxfId="216" totalsRowDxfId="215">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4" totalsRowDxfId="213">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2" totalsRowDxfId="211">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10" dataDxfId="209">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8">
      <calculatedColumnFormula xml:space="preserve"> ROW( co_impactTypes[[#This Row],[row_id]] ) - ROW(co_impactTypes[[#Headers],[row_id]] )</calculatedColumnFormula>
    </tableColumn>
    <tableColumn id="5" xr3:uid="{695E7B0A-9CCF-4B48-8FB4-7B2C8AC23CA2}" name="sector_id" dataDxfId="207"/>
    <tableColumn id="3" xr3:uid="{AC7D2590-5F6F-4E8A-8395-3ACC925DD65E}" name="impactType_label" dataDxfId="206"/>
    <tableColumn id="2" xr3:uid="{389F4E81-E357-4437-B986-87606739FD52}" name="impactType_id" dataDxfId="205"/>
    <tableColumn id="8" xr3:uid="{535B73E2-6287-4418-B8AA-E50E0120DCC2}" name="impactType_id_excel" dataDxfId="204"/>
    <tableColumn id="7" xr3:uid="{252ECC08-A081-4155-A2E4-6E6953775245}" name="impactType_description" dataDxfId="203"/>
    <tableColumn id="18" xr3:uid="{20E67458-91EF-4192-9F05-0BEE3F89945B}" name="physicalmeasure" dataDxfId="202"/>
    <tableColumn id="6" xr3:uid="{3CFD45D4-B79B-4F80-92FC-337937E46944}" name="physScalarName" dataDxfId="201"/>
    <tableColumn id="9" xr3:uid="{40E9B945-11EE-47C9-B5D8-A41A8FC63734}" name="physAdjName" dataDxfId="200"/>
    <tableColumn id="16" xr3:uid="{5C5AE37A-2086-491F-BF3C-F22CC928E516}" name="damageAdjName" dataDxfId="199"/>
    <tableColumn id="10" xr3:uid="{2A5B466E-A990-49E9-92E3-0103059D4863}" name="econScalarName" dataDxfId="198"/>
    <tableColumn id="11" xr3:uid="{74F77DB7-A970-4C19-A8F9-04E79FC664FD}" name="econMultiplierName" dataDxfId="197"/>
    <tableColumn id="12" xr3:uid="{DA200B1A-95FB-4000-933E-BC048A1E0631}" name="c0" dataDxfId="196"/>
    <tableColumn id="13" xr3:uid="{F6CED4C7-F96B-4766-BD90-7B52A49FAABA}" name="c1" dataDxfId="195"/>
    <tableColumn id="14" xr3:uid="{E36983CA-3DF1-4DD8-A727-E60C1D905346}" name="exp0" dataDxfId="194"/>
    <tableColumn id="15" xr3:uid="{861014FE-4437-4D17-8CED-BC8B72417DD9}" name="year0" dataDxfId="193">
      <calculatedColumnFormula xml:space="preserve"> IF(co_impactTypes[[#This Row],[econMultiplierName]]="None", "N/A", 2010)</calculatedColumnFormula>
    </tableColumn>
    <tableColumn id="4" xr3:uid="{B36EDE81-6CA0-42FB-A8A9-9A4FA4A5EFCA}" name="check_data" dataDxfId="192">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91">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90">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9">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5" totalsRowShown="0" headerRowDxfId="188" dataDxfId="187">
  <sortState xmlns:xlrd2="http://schemas.microsoft.com/office/spreadsheetml/2017/richdata2" ref="B175:K203">
    <sortCondition ref="E175:E203"/>
    <sortCondition ref="C175:C203"/>
  </sortState>
  <tableColumns count="10">
    <tableColumn id="1" xr3:uid="{B5AB138C-E49F-456B-8F7B-6A701BD94314}" name="row_id" dataDxfId="186">
      <calculatedColumnFormula xml:space="preserve"> ROW( co_scalarInfo[[#This Row],[row_id]] ) - ROW( co_scalarInfo[[#Headers],[row_id]] )</calculatedColumnFormula>
    </tableColumn>
    <tableColumn id="4" xr3:uid="{057C556C-4A5B-41BF-9EA5-CD5D06EC20A3}" name="scalarName" dataDxfId="185"/>
    <tableColumn id="2" xr3:uid="{11586BC8-9866-411F-AFB1-B54CDBE58BC8}" name="scalarLabel" dataDxfId="184"/>
    <tableColumn id="3" xr3:uid="{59273865-10D7-4E58-A34B-98B12FD27367}" name="scalarType" dataDxfId="183"/>
    <tableColumn id="6" xr3:uid="{44722630-DE32-4127-9D36-E5716D7B6FB1}" name="constant_or_dynamic" dataDxfId="182"/>
    <tableColumn id="7" xr3:uid="{06B55EB3-A830-4A09-BCEF-732F610DB775}" name="national_or_regional" dataDxfId="181"/>
    <tableColumn id="12" xr3:uid="{DA5FA732-C673-49CC-B393-EEDF239C5944}" name="valueYear" dataDxfId="180"/>
    <tableColumn id="9" xr3:uid="{072DFA28-3A99-48D9-9F87-0B9663CC8EBE}" name="dataType" dataDxfId="179"/>
    <tableColumn id="8" xr3:uid="{083C27B7-8723-4638-8D25-C880E916AEB0}" name="notes" dataDxfId="178"/>
    <tableColumn id="10" xr3:uid="{59B283EF-319C-46BD-B32A-C633A7A331B3}" name="scalar_rows" dataDxfId="177">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8:D221" totalsRowShown="0" headerRowDxfId="176" dataDxfId="175">
  <tableColumns count="3">
    <tableColumn id="1" xr3:uid="{D7815580-A46D-4035-AF95-6DFB7EDC1C86}" name="row_id" dataDxfId="174">
      <calculatedColumnFormula xml:space="preserve"> ROW( co_constants[[#This Row],[row_id]] ) - ROW( co_constants[[#Headers],[row_id]] )</calculatedColumnFormula>
    </tableColumn>
    <tableColumn id="4" xr3:uid="{7CEFD3F0-E79C-4BEE-B910-4D600E302386}" name="constant" dataDxfId="173"/>
    <tableColumn id="3" xr3:uid="{DB7DDBBB-C95A-4211-819C-B05A5C2E7319}" name="value" dataDxfId="17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71" dataDxfId="170">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9" totalsRowDxfId="168">
      <calculatedColumnFormula xml:space="preserve"> ROW( co_variants[[#This Row],[row_id]] ) - ROW( co_variants[[#Headers],[row_id]] )</calculatedColumnFormula>
    </tableColumn>
    <tableColumn id="18" xr3:uid="{11CBE921-72AF-48C1-82DE-27D30284B810}" name="sector_id" dataDxfId="167" totalsRowDxfId="166"/>
    <tableColumn id="3" xr3:uid="{1A31D87B-CDD5-4D8C-A4C9-8892B2B2C1E8}" name="variant_label" dataDxfId="165" totalsRowDxfId="164"/>
    <tableColumn id="4" xr3:uid="{BD980D22-60C8-4EA5-878C-1F6646D73814}" name="variant_id" dataDxfId="163" totalsRowDxfId="162"/>
    <tableColumn id="2" xr3:uid="{AFC0EA26-897A-4565-AC43-EDE7CD2C7E8A}" name="variant_id_excel" dataDxfId="161" totalsRowDxfId="160"/>
    <tableColumn id="7" xr3:uid="{77C8D2EF-4466-45BD-90C6-9DB11F371760}" name="sectorprimary" dataDxfId="159" totalsRowDxfId="158"/>
    <tableColumn id="6" xr3:uid="{677E6396-DB82-43C2-B1C8-9CF8A385BC06}" name="includeaggregate" dataDxfId="157" totalsRowDxfId="156"/>
    <tableColumn id="19" xr3:uid="{C16D6C81-A98D-4F3D-B812-6AFD7158219C}" name="damageAdjName" dataDxfId="155" totalsRowDxfId="154">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53" totalsRowDxfId="152">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0:E213" totalsRowShown="0" headerRowDxfId="150" dataDxfId="149">
  <tableColumns count="4">
    <tableColumn id="1" xr3:uid="{B5687CDE-96CA-4DF3-A45A-B2EDE1CC9A93}" name="row_id" dataDxfId="148">
      <calculatedColumnFormula xml:space="preserve"> ROW( co_econMultipliers[[#This Row],[row_id]] ) - ROW( co_econMultipliers[[#Headers],[row_id]] )</calculatedColumnFormula>
    </tableColumn>
    <tableColumn id="4" xr3:uid="{76AF9F40-EEBA-4ABF-82CC-7580151C94E2}" name="econMultiplierName" dataDxfId="147"/>
    <tableColumn id="3" xr3:uid="{BB4C0E23-5864-41DA-8215-7C526A80B49B}" name="econMultiplierDescription" dataDxfId="146"/>
    <tableColumn id="2" xr3:uid="{013806BA-C4E3-46FD-AD7B-D198CFA696CD}" name="valueYear" dataDxfId="145"/>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4:L268" totalsRowShown="0" headerRowDxfId="144" dataDxfId="143">
  <tableColumns count="11">
    <tableColumn id="1" xr3:uid="{66AD6D28-7A41-4AD2-93FD-110433F1C5A5}" name="row_id" dataDxfId="142">
      <calculatedColumnFormula xml:space="preserve"> ROW( co_inputScenarioInfo[[#This Row],[row_id]] ) - ROW( co_inputScenarioInfo[[#Headers],[row_id]] )</calculatedColumnFormula>
    </tableColumn>
    <tableColumn id="4" xr3:uid="{45198473-3D48-41CD-B663-D0AF13813C66}" name="inputName" dataDxfId="141"/>
    <tableColumn id="3" xr3:uid="{E3847F4D-6384-49D5-8156-9EC8E8221B62}" name="inputType" dataDxfId="140"/>
    <tableColumn id="5" xr3:uid="{98CB64F8-23F0-4402-9CE1-03695A07036B}" name="inputDesc" dataDxfId="139"/>
    <tableColumn id="11" xr3:uid="{6767F0F8-BE35-4ED7-8CC4-4EC46910597F}" name="importArgName" dataDxfId="138">
      <calculatedColumnFormula xml:space="preserve"> co_inputScenarioInfo[[#This Row],[inputName]] &amp; "file"</calculatedColumnFormula>
    </tableColumn>
    <tableColumn id="10" xr3:uid="{1DA97935-2C19-401C-B17D-EF908498B36F}" name="tempBinListName" dataDxfId="137">
      <calculatedColumnFormula xml:space="preserve"> co_inputScenarioInfo[[#This Row],[inputName]] &amp; "Input"</calculatedColumnFormula>
    </tableColumn>
    <tableColumn id="2" xr3:uid="{F9249B62-F8E8-46B3-88F1-E8E0903FDD4A}" name="inputUnit" dataDxfId="136"/>
    <tableColumn id="6" xr3:uid="{48BBD66A-C5AD-477C-84C9-E5FFE0D43B87}" name="inputMin" dataDxfId="135"/>
    <tableColumn id="7" xr3:uid="{05D78FF1-5FB5-4CB5-AB55-8F3089B354DC}" name="inputMax" dataDxfId="134">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3"/>
    <tableColumn id="9" xr3:uid="{AAA49909-67E1-4978-90ED-573C388A520B}" name="region" dataDxfId="13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3:F322" totalsRowShown="0" headerRowDxfId="131">
  <tableColumns count="5">
    <tableColumn id="1" xr3:uid="{B802A69B-2E07-40A2-ADE9-DCABCB2E04A6}" name="row_id" dataDxfId="130">
      <calculatedColumnFormula xml:space="preserve"> ROW( co_states[[#This Row],[row_id]] ) - ROW( co_states[[#Headers],[row_id]] )</calculatedColumnFormula>
    </tableColumn>
    <tableColumn id="2" xr3:uid="{5B715195-2EAE-439A-84CF-1C26F65065E0}" name="state" dataDxfId="129"/>
    <tableColumn id="3" xr3:uid="{42CA1BFA-BDCF-464B-91DB-4C9663461C1C}" name="postal" dataDxfId="128"/>
    <tableColumn id="4" xr3:uid="{F4F2D0D4-82EF-41DF-B43B-E23CB36CF080}" name="region" dataDxfId="127"/>
    <tableColumn id="5" xr3:uid="{5807F5A8-31A9-4CC5-8FA0-243CB9917CD4}" name="fips" dataDxfId="126"/>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E147E69-CD5F-42D7-965A-C199EEF0E993}" name="co_slrScalars" displayName="co_slrScalars" ref="B328:J330" totalsRowShown="0" headerRowDxfId="125" dataDxfId="124">
  <tableColumns count="9">
    <tableColumn id="1" xr3:uid="{EB195F15-784A-4BEC-9F1F-4C5CEAAA29E6}" name="row_id" dataDxfId="123">
      <calculatedColumnFormula xml:space="preserve"> ROW( co_slrScalars[[#This Row],[row_id]] ) - ROW( co_slrScalars[[#Headers],[row_id]] )</calculatedColumnFormula>
    </tableColumn>
    <tableColumn id="3" xr3:uid="{1C8DF268-02E6-4900-9357-06847CCC9B5F}" name="sector" dataDxfId="6"/>
    <tableColumn id="10" xr3:uid="{87CC7D51-63AC-44A5-AA3D-86F43ED20382}" name="byState" dataDxfId="4">
      <calculatedColumnFormula array="1" xml:space="preserve"> INDEX( co_sectors[byState], MATCH( 1, --( co_slrScalars[[#This Row],[sector]] = co_sectors[sector_id] ), 0 ) )</calculatedColumnFormula>
    </tableColumn>
    <tableColumn id="2" xr3:uid="{87B530B6-E6EA-48AF-AC1B-CCBDFF6183E3}" name="physScalarName" dataDxfId="5"/>
    <tableColumn id="6" xr3:uid="{97F2C7CF-5929-4EE2-83F6-6DEA8ED127C3}" name="econMultiplierName" dataDxfId="122"/>
    <tableColumn id="7" xr3:uid="{6E0BBB70-6435-40E3-B450-DB3790262463}" name="c1" dataDxfId="121"/>
    <tableColumn id="8" xr3:uid="{6C212E0B-5BCD-4DCF-9804-E5AE056EC1B5}" name="exp0" dataDxfId="120"/>
    <tableColumn id="9" xr3:uid="{582A4042-18B1-445F-976E-1B595CA55EBC}" name="c2" dataDxfId="119"/>
    <tableColumn id="4" xr3:uid="{A22130EE-D487-477C-83EE-4A8DE5CCEEA0}" name="refYear" dataDxfId="7"/>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8" dataDxfId="117" dataCellStyle="Comma">
  <tableColumns count="10">
    <tableColumn id="12" xr3:uid="{0A89CE4B-8BE5-43BC-A51C-BD6CBE39EF8F}" name="row_id" dataDxfId="116" dataCellStyle="Comma">
      <calculatedColumnFormula xml:space="preserve"> ROW( co_defaultScenario[[#This Row],[row_id]] ) - ROW( co_defaultScenario[[#Headers],[row_id]] )</calculatedColumnFormula>
    </tableColumn>
    <tableColumn id="1" xr3:uid="{7A7DBB26-4C96-4158-9520-0B868F638DE3}" name="year" dataDxfId="115"/>
    <tableColumn id="3" xr3:uid="{5D94A0B8-5B52-499B-B23D-0A2D5730D551}" name="gdp_usd" dataDxfId="114" dataCellStyle="Comma"/>
    <tableColumn id="5" xr3:uid="{659D6246-4041-4DBC-AAED-B31108854E59}" name="pop_Midwest" dataDxfId="113" dataCellStyle="Comma"/>
    <tableColumn id="6" xr3:uid="{BF3527D1-840B-4CB0-8FA1-F7702C9908AE}" name="pop_Northeast" dataDxfId="112" dataCellStyle="Comma"/>
    <tableColumn id="7" xr3:uid="{35DB272A-66EC-46CE-93A9-20F94779BAF3}" name="pop_Northern.Plains" dataDxfId="111" dataCellStyle="Comma"/>
    <tableColumn id="8" xr3:uid="{55BC306A-A00D-4EE4-9211-F6147BF5E330}" name="pop_Northwest" dataDxfId="110" dataCellStyle="Comma"/>
    <tableColumn id="9" xr3:uid="{EA9DDCB9-3C37-4492-BE49-198660067F46}" name="pop_Southeast" dataDxfId="109" dataCellStyle="Comma"/>
    <tableColumn id="10" xr3:uid="{502BAA2C-0C26-48E2-9897-F916C0768CFF}" name="pop_Southern.Plains" dataDxfId="108" dataCellStyle="Comma"/>
    <tableColumn id="11" xr3:uid="{6C7C02DD-C215-4B9C-8FA9-4B3C99468E87}" name="pop_Southwest" dataDxfId="107"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6" dataDxfId="105">
  <autoFilter ref="B22:D113" xr:uid="{C0179B68-B689-4953-B236-407D919FF6CA}"/>
  <tableColumns count="3">
    <tableColumn id="1" xr3:uid="{229C0172-6118-4531-8FC2-3A035D17EE27}" name="row_id" dataDxfId="104">
      <calculatedColumnFormula xml:space="preserve"> ROW( co_defaultTemps[[#This Row],[row_id]] ) - ROW( co_defaultTemps[[#Headers],[row_id]] )</calculatedColumnFormula>
    </tableColumn>
    <tableColumn id="2" xr3:uid="{FE9368F1-AE5E-44BC-8FFF-69FF82E02318}" name="year" dataDxfId="103"/>
    <tableColumn id="3" xr3:uid="{45630D5D-C977-4FC5-9F88-824121D0F964}" name="temp_C_global" dataDxfId="102"/>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1">
      <calculatedColumnFormula xml:space="preserve"> ROW( Readme_adaptations[[#This Row],[row_id]] ) - ROW( Readme_adaptations[[#Headers],[row_id]] )</calculatedColumnFormula>
    </tableColumn>
    <tableColumn id="4" xr3:uid="{8F8CD713-0ECF-4957-8E94-F3FC5C746031}" name="sector_id" dataDxfId="100"/>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9" dataDxfId="98">
  <autoFilter ref="B3:F5" xr:uid="{58C7AF19-DB28-47F8-BE56-AE985DF1009B}"/>
  <tableColumns count="5">
    <tableColumn id="1" xr3:uid="{055BC283-B8DC-4F37-B787-CE15D79337AE}" name="row_id" dataDxfId="97">
      <calculatedColumnFormula xml:space="preserve"> ROW( Readme_sectors[[#This Row],[row_id]] ) - ROW( Readme_sectors[[#Headers],[row_id]] )</calculatedColumnFormula>
    </tableColumn>
    <tableColumn id="4" xr3:uid="{F1DE1E87-7416-4EC2-83F4-443E818D69E2}" name="sector_id" dataDxfId="96"/>
    <tableColumn id="2" xr3:uid="{69F42C58-EA29-416E-A03E-490DCD1DAC6F}" name="adapt_id" dataDxfId="95"/>
    <tableColumn id="3" xr3:uid="{995768DD-996C-4A25-A331-EA651CF80A08}" name="adapt_label" dataDxfId="94"/>
    <tableColumn id="5" xr3:uid="{B607221E-C635-413E-A992-7E4B369F50F2}" name="Description" dataDxfId="9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92" dataDxfId="91">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90">
      <calculatedColumnFormula xml:space="preserve"> ROW( scalarDataframe[[#This Row],[row_id]] ) - ROW( scalarDataframe[[#Headers],[row_id]] )</calculatedColumnFormula>
    </tableColumn>
    <tableColumn id="7" xr3:uid="{5629A03B-F5E7-4251-8BE0-29755F9DEEF4}" name="scalarType" dataDxfId="89">
      <calculatedColumnFormula xml:space="preserve"> INDEX( co_scalarInfo[scalarType], MATCH( scalarDataframe[[#This Row],[scalarName]], co_scalarInfo[scalarName], 0 ) )</calculatedColumnFormula>
    </tableColumn>
    <tableColumn id="6" xr3:uid="{EAB00170-C54B-4F2E-A83B-7CD2973B9217}" name="scalarLabel" dataDxfId="88">
      <calculatedColumnFormula xml:space="preserve"> INDEX( co_scalarInfo[scalarLabel], MATCH( scalarDataframe[[#This Row],[scalarName]], co_scalarInfo[scalarName], 0 ) )</calculatedColumnFormula>
    </tableColumn>
    <tableColumn id="1" xr3:uid="{BEF24C34-21C6-484B-99B8-4D2302D0D7DE}" name="scalarName" dataDxfId="87"/>
    <tableColumn id="5" xr3:uid="{FACDE178-C405-470C-9ED1-05FB40F80840}" name="region" dataDxfId="86"/>
    <tableColumn id="14" xr3:uid="{BCE95E2F-5B10-4D18-9633-30354597338F}" name="year" dataDxfId="85"/>
    <tableColumn id="9" xr3:uid="{DE2AE657-02B0-46A2-B4A9-F8887225A818}" name="value" dataDxfId="84"/>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83">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2">
      <calculatedColumnFormula xml:space="preserve"> ROW( data_scaledImpacts[[#This Row],[row_id]] ) - ROW( data_scaledImpacts[[#Headers],[row_id]] )</calculatedColumnFormula>
    </tableColumn>
    <tableColumn id="2" xr3:uid="{2DEF2382-F499-4843-895A-686011F97248}" name="output_lookupID" dataDxfId="81">
      <calculatedColumnFormula xml:space="preserve"> _xlfn.TEXTJOIN( "", , data_scaledImpacts[[#This Row],[sector]:[impactType]] )</calculatedColumnFormula>
    </tableColumn>
    <tableColumn id="3" xr3:uid="{A07F71E0-9C40-47D4-89FF-270CA2449A8D}" name="sector" dataDxfId="80"/>
    <tableColumn id="4" xr3:uid="{DA36AA1F-6D86-4CA8-8836-A83B43C67B05}" name="model" dataDxfId="79"/>
    <tableColumn id="5" xr3:uid="{EDD0DD68-817F-473E-B837-7D264DAF7650}" name="modelUnitValue" dataDxfId="78"/>
    <tableColumn id="6" xr3:uid="{E4181268-243D-4157-BBEA-8F6D73BCFDA4}" name="impactYear" dataDxfId="77"/>
    <tableColumn id="7" xr3:uid="{6BC8264A-FD6A-4A74-A54E-E4BEFFC2FF0E}" name="variant" dataDxfId="76"/>
    <tableColumn id="8" xr3:uid="{35492AA1-EFA5-4FC6-9F20-F1C21885CFDF}" name="impactType" dataDxfId="75"/>
    <tableColumn id="9" xr3:uid="{8E5D0643-1EAD-47B7-8617-B171A8E0D4EB}" name="outputRowID" dataDxfId="74"/>
    <tableColumn id="10" xr3:uid="{122E93D1-4EA3-4143-97BA-B5275F944BBD}" name="Midwest" dataDxfId="73"/>
    <tableColumn id="11" xr3:uid="{418427BF-1380-45E4-AD6C-C5977A99F193}" name="Northeast" dataDxfId="72"/>
    <tableColumn id="12" xr3:uid="{9DEAAC4E-3E55-4B79-9BAD-D335847FE7D8}" name="Northern Plains" dataDxfId="71"/>
    <tableColumn id="13" xr3:uid="{D6C03439-E08A-406A-9A6A-F53A9BBCE9D2}" name="Northwest" dataDxfId="70"/>
    <tableColumn id="14" xr3:uid="{FF22C76C-80D3-41A5-A330-0813F552BE4C}" name="Southeast" dataDxfId="69"/>
    <tableColumn id="15" xr3:uid="{6C639293-A12E-4E73-9BF5-C4950AD60486}" name="Southern Plains" dataDxfId="68"/>
    <tableColumn id="16" xr3:uid="{FF5717EE-9829-4FC1-94B6-E37C39E8D565}" name="Southwest" dataDxfId="67"/>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6">
      <calculatedColumnFormula xml:space="preserve"> ROW( slr_cm[[#This Row],[row_id]] ) - ROW( slr_cm[[#Headers],[row_id]] )</calculatedColumnFormula>
    </tableColumn>
    <tableColumn id="1" xr3:uid="{FA4EDD13-4E7E-45A3-BAE3-E9197F3C6F46}" name="year" dataDxfId="65"/>
    <tableColumn id="2" xr3:uid="{8C03079C-35A7-401C-8DAF-080D8590CAF6}" name="0_cm" dataDxfId="64"/>
    <tableColumn id="8" xr3:uid="{BF06645C-1E6B-49DC-BFF3-41DC055BA794}" name="30_cm" dataDxfId="63"/>
    <tableColumn id="7" xr3:uid="{A579CC42-A3A8-4F15-AA9F-71AF71D9FC92}" name="50_cm" dataDxfId="62"/>
    <tableColumn id="6" xr3:uid="{3B78BF10-85AF-4256-B6E0-8C448D28F844}" name="100_cm" dataDxfId="61"/>
    <tableColumn id="5" xr3:uid="{B9B22AB8-C0E3-43FA-8E5B-D07A4AB2C538}" name="150_cm" dataDxfId="60"/>
    <tableColumn id="4" xr3:uid="{763A0097-0CCB-4D1D-A0D6-FDF4FE810AFE}" name="200_cm" dataDxfId="59"/>
    <tableColumn id="3" xr3:uid="{FB0A96A9-E5BF-4003-9D05-D514A5B55CB9}" name="250_cm" dataDxfId="58"/>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7" dataDxfId="56">
  <autoFilter ref="A1:AV607" xr:uid="{1E2BDA83-F146-4F19-98EB-1C14987FA9A2}"/>
  <tableColumns count="48">
    <tableColumn id="1" xr3:uid="{1AF6ADF4-8505-4AE3-B9CF-7B2E19067C27}" name="row_id" dataDxfId="55">
      <calculatedColumnFormula xml:space="preserve"> ROW( slrImpacts[[#This Row],[row_id]] ) - ROW( slrImpacts[[#Headers],[row_id]] )</calculatedColumnFormula>
    </tableColumn>
    <tableColumn id="2" xr3:uid="{43959032-2245-415B-8ED2-21DB4CD1B12D}" name="year" dataDxfId="54"/>
    <tableColumn id="34" xr3:uid="{36F985FC-77EB-47D2-A1FE-2F2082E6D376}" name="sector" dataDxfId="53"/>
    <tableColumn id="33" xr3:uid="{2B5236CB-9F95-4A4C-87A0-3CE9BE2C7E73}" name="variant" dataDxfId="52"/>
    <tableColumn id="47" xr3:uid="{C72A8BD2-368D-4792-B823-AB419436D208}" name="impactType" dataDxfId="51"/>
    <tableColumn id="48" xr3:uid="{DFF477B8-9820-4C99-8CCB-2CCE11ECACF1}" name="impactYear" dataDxfId="50"/>
    <tableColumn id="40" xr3:uid="{59ABB601-B3FB-4C8C-9E90-0D4D313FAF3F}" name="Midwest_30" dataDxfId="49"/>
    <tableColumn id="39" xr3:uid="{F84FDD51-A91A-4DC6-816F-44511CF9870D}" name="Midwest_50" dataDxfId="48"/>
    <tableColumn id="38" xr3:uid="{193117A6-0076-4C6E-92F6-E195305CA75F}" name="Midwest_100" dataDxfId="47"/>
    <tableColumn id="37" xr3:uid="{E95A863E-DC23-49E3-8747-1140239EB542}" name="Midwest_150" dataDxfId="46"/>
    <tableColumn id="36" xr3:uid="{9DCAC172-4EFA-4F72-94A9-25FFCE6BABCB}" name="Midwest_200" dataDxfId="45"/>
    <tableColumn id="35" xr3:uid="{00596647-30A5-4FDE-A2C2-91C99C976DEE}" name="Midwest_250" dataDxfId="44"/>
    <tableColumn id="3" xr3:uid="{83D2C515-6A08-43C8-B8A0-3D6BA255FF7F}" name="Northeast_30" dataDxfId="43"/>
    <tableColumn id="4" xr3:uid="{74F081E1-9034-47BC-A276-9B7F094EE5A3}" name="Northeast_50" dataDxfId="42"/>
    <tableColumn id="5" xr3:uid="{8F3D127C-0F6E-43FB-B037-CC9DA3EAEA3F}" name="Northeast_100" dataDxfId="41"/>
    <tableColumn id="6" xr3:uid="{0B383C74-86B0-4E8A-845D-73DCE318AF7B}" name="Northeast_150" dataDxfId="40"/>
    <tableColumn id="7" xr3:uid="{E052B2E8-57BD-4F48-A568-09E673E2128C}" name="Northeast_200" dataDxfId="39"/>
    <tableColumn id="8" xr3:uid="{55B448A4-20D4-488F-A0A4-162F80E5057D}" name="Northeast_250" dataDxfId="38"/>
    <tableColumn id="46" xr3:uid="{ACCB58E3-4DBC-47FB-9071-3026A9D2CD18}" name="Northern Plains_30" dataDxfId="37"/>
    <tableColumn id="45" xr3:uid="{B443D41D-6370-4E34-9C3A-032FAA2D4EB9}" name="Northern Plains_50" dataDxfId="36"/>
    <tableColumn id="44" xr3:uid="{9B782C49-A9FB-4697-9075-383E342315C1}" name="Northern Plains_100" dataDxfId="35"/>
    <tableColumn id="43" xr3:uid="{00CE473E-B64A-42FF-BF91-E6528F343B44}" name="Northern Plains_150" dataDxfId="34"/>
    <tableColumn id="42" xr3:uid="{C209AAAD-9D09-45FE-97E8-3F06D9F9BD04}" name="Northern Plains_200" dataDxfId="33"/>
    <tableColumn id="41" xr3:uid="{610E1419-80D8-4CBA-BBE1-60989C94E642}" name="Northern Plains_250" dataDxfId="32"/>
    <tableColumn id="9" xr3:uid="{42F55640-6505-49F6-A864-7FE23725A39C}" name="Northwest_30" dataDxfId="31"/>
    <tableColumn id="10" xr3:uid="{6F6846C5-B6E4-4804-824A-32DB6379905F}" name="Northwest_50" dataDxfId="30"/>
    <tableColumn id="11" xr3:uid="{34152EE8-AA27-4972-A142-D7B0660F7ED4}" name="Northwest_100" dataDxfId="29"/>
    <tableColumn id="12" xr3:uid="{26DDDCE7-D1BE-4EBB-BB1B-67E6A1E6B729}" name="Northwest_150" dataDxfId="28"/>
    <tableColumn id="13" xr3:uid="{A5BC1F5E-D5B8-4EBB-8261-AD1947BA3A5E}" name="Northwest_200" dataDxfId="27"/>
    <tableColumn id="14" xr3:uid="{BF9A5867-33A2-4645-A46F-7B030AA78FAA}" name="Northwest_250" dataDxfId="26"/>
    <tableColumn id="15" xr3:uid="{DC131674-9A7E-4E00-B1F9-B404E865183F}" name="Southeast_30" dataDxfId="25"/>
    <tableColumn id="16" xr3:uid="{46332F35-94C5-424B-8B00-288002E867C6}" name="Southeast_50" dataDxfId="24"/>
    <tableColumn id="17" xr3:uid="{CCE5A40C-062C-4528-84C8-C057DBF195FF}" name="Southeast_100" dataDxfId="23"/>
    <tableColumn id="18" xr3:uid="{D9200857-AC1F-4DAE-A17A-C7DE6B22AD9A}" name="Southeast_150" dataDxfId="22"/>
    <tableColumn id="19" xr3:uid="{FFCB728A-6B07-4E7F-BD0B-F3FEDCF9EF70}" name="Southeast_200" dataDxfId="21"/>
    <tableColumn id="20" xr3:uid="{67E39E52-C626-4D35-B947-6885E61FCCF6}" name="Southeast_250" dataDxfId="20"/>
    <tableColumn id="27" xr3:uid="{989D7D26-3A17-4BEA-875A-F41C9D179548}" name="Southern Plains_30" dataDxfId="19"/>
    <tableColumn id="28" xr3:uid="{8212CD6D-3B08-45EC-A7DD-F3E879A4E433}" name="Southern Plains_50" dataDxfId="18"/>
    <tableColumn id="29" xr3:uid="{535F6147-6830-4343-88CD-EA49EB1C82ED}" name="Southern Plains_100" dataDxfId="17"/>
    <tableColumn id="30" xr3:uid="{64107A0B-DEF5-4093-BDD7-CCBF08CB819F}" name="Southern Plains_150" dataDxfId="16"/>
    <tableColumn id="31" xr3:uid="{DA051E0B-C5DA-4D3E-9988-13D784BC4003}" name="Southern Plains_200" dataDxfId="15"/>
    <tableColumn id="32" xr3:uid="{0DB15A09-B6D5-4A12-943F-EB86B7C8BFC9}" name="Southern Plains_250" dataDxfId="14"/>
    <tableColumn id="21" xr3:uid="{ABF1E75D-2BCB-4098-9306-ED4F6FF6E6D0}" name="Southwest_30" dataDxfId="13"/>
    <tableColumn id="22" xr3:uid="{00B9C446-629F-46C9-B629-9804A9A27C17}" name="Southwest_50" dataDxfId="12"/>
    <tableColumn id="23" xr3:uid="{E76D3773-0B2F-44FB-B02D-FC48DF45BD1C}" name="Southwest_100" dataDxfId="11"/>
    <tableColumn id="24" xr3:uid="{4C48D194-9727-43DD-9FE8-D0B8E5BD072C}" name="Southwest_150" dataDxfId="10"/>
    <tableColumn id="25" xr3:uid="{D22B7013-4A18-40D3-B394-33A65BA629A1}" name="Southwest_200" dataDxfId="9"/>
    <tableColumn id="26" xr3:uid="{A5E2AB4E-C94A-4C64-889A-1D0CEE4CF2F3}" name="Southwest_250" dataDxfId="8"/>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6" dT="2021-02-11T17:01:11.40" personId="{00000000-0000-0000-0000-000000000000}" id="{74E8C379-DF77-4FAE-8C13-4D0000C68271}">
    <text>Year when change and impacts are zero</text>
  </threadedComment>
  <threadedComment ref="K226" dT="2021-02-15T18:58:52.31" personId="{00000000-0000-0000-0000-000000000000}" id="{984021BA-DD3F-4758-AAFF-698CBFB1E97F}">
    <text>Maximum value to extrapolate to, for models that go up to the maximum output value.</text>
  </threadedComment>
  <threadedComment ref="F264" dT="2021-03-30T17:50:58.78" personId="{00000000-0000-0000-0000-000000000000}" id="{A6091107-2825-473E-BBBE-411522F90494}">
    <text>Name of argument to import_inputs</text>
  </threadedComment>
  <threadedComment ref="G264" dT="2021-03-30T17:49:55.46" personId="{00000000-0000-0000-0000-000000000000}" id="{A03B3CB5-A1AE-46DC-B1DB-A9148D8693C3}">
    <text>Name of list element name of input to tempBin</text>
  </threadedComment>
  <threadedComment ref="L264"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1071</v>
      </c>
    </row>
    <row r="10" spans="2:3" ht="29.25" customHeight="1" x14ac:dyDescent="0.25">
      <c r="B10" s="128" t="s">
        <v>245</v>
      </c>
      <c r="C10" s="91" t="s">
        <v>1074</v>
      </c>
    </row>
    <row r="11" spans="2:3" ht="32.25" customHeight="1" x14ac:dyDescent="0.25">
      <c r="B11" s="129" t="s">
        <v>971</v>
      </c>
      <c r="C11" s="127" t="s">
        <v>1077</v>
      </c>
    </row>
    <row r="12" spans="2:3" ht="15" customHeight="1" collapsed="1" x14ac:dyDescent="0.25">
      <c r="B12" s="128" t="s">
        <v>829</v>
      </c>
      <c r="C12" s="91" t="s">
        <v>1073</v>
      </c>
    </row>
    <row r="13" spans="2:3" ht="15" hidden="1" customHeight="1" outlineLevel="1" collapsed="1" x14ac:dyDescent="0.25">
      <c r="B13" s="128"/>
      <c r="C13" s="93" t="s">
        <v>1072</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904</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942</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943</v>
      </c>
    </row>
    <row r="24" spans="2:3" ht="45" hidden="1" customHeight="1" outlineLevel="1" x14ac:dyDescent="0.25">
      <c r="B24" s="129"/>
      <c r="C24" s="90" t="s">
        <v>827</v>
      </c>
    </row>
    <row r="25" spans="2:3" ht="30.75" customHeight="1" collapsed="1" x14ac:dyDescent="0.25">
      <c r="B25" s="129" t="s">
        <v>835</v>
      </c>
      <c r="C25" s="20" t="s">
        <v>1076</v>
      </c>
    </row>
    <row r="26" spans="2:3" ht="15" hidden="1" customHeight="1" outlineLevel="1" collapsed="1" x14ac:dyDescent="0.25">
      <c r="B26" s="129"/>
      <c r="C26" s="93" t="s">
        <v>1072</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947</v>
      </c>
      <c r="C34" s="91" t="s">
        <v>1075</v>
      </c>
    </row>
    <row r="35" spans="2:3" hidden="1" outlineLevel="1" collapsed="1" x14ac:dyDescent="0.25">
      <c r="B35" s="90"/>
      <c r="C35" s="93" t="s">
        <v>1072</v>
      </c>
    </row>
    <row r="36" spans="2:3" hidden="1" outlineLevel="1" x14ac:dyDescent="0.25">
      <c r="C36" s="90" t="s">
        <v>780</v>
      </c>
    </row>
    <row r="37" spans="2:3" hidden="1" outlineLevel="1" x14ac:dyDescent="0.25">
      <c r="C37" t="s">
        <v>235</v>
      </c>
    </row>
    <row r="38" spans="2:3" hidden="1" outlineLevel="1" x14ac:dyDescent="0.25">
      <c r="C38" s="90" t="s">
        <v>920</v>
      </c>
    </row>
    <row r="39" spans="2:3" hidden="1" outlineLevel="1" x14ac:dyDescent="0.25">
      <c r="C39" t="s">
        <v>930</v>
      </c>
    </row>
    <row r="40" spans="2:3" hidden="1" outlineLevel="1" x14ac:dyDescent="0.25">
      <c r="C40" s="90" t="s">
        <v>972</v>
      </c>
    </row>
    <row r="41" spans="2:3" hidden="1" outlineLevel="1" x14ac:dyDescent="0.25">
      <c r="C41" t="s">
        <v>921</v>
      </c>
    </row>
    <row r="42" spans="2:3" hidden="1" outlineLevel="1" x14ac:dyDescent="0.25">
      <c r="C42" s="95" t="s">
        <v>922</v>
      </c>
    </row>
    <row r="43" spans="2:3" hidden="1" outlineLevel="1" x14ac:dyDescent="0.25">
      <c r="C43" t="s">
        <v>929</v>
      </c>
    </row>
    <row r="44" spans="2:3" hidden="1" outlineLevel="1" x14ac:dyDescent="0.25">
      <c r="C44" s="90" t="s">
        <v>923</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E1" activePane="topRight" state="frozen"/>
      <selection activeCell="B1" sqref="B1"/>
      <selection pane="topRight" activeCell="N23" sqref="N23"/>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2.5" x14ac:dyDescent="0.2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20</v>
      </c>
      <c r="H4" s="62">
        <f ca="1" xml:space="preserve"> MAX( INDIRECT( _xlfn.TEXTJOIN( "", , doc_tablesList[[#This Row],[Table Name]], "[", doc_tablesList[[#This Row],[ID_columnName]], "]" ) ) )</f>
        <v>25</v>
      </c>
      <c r="I4" s="62">
        <f ca="1" xml:space="preserve"> doc_tablesList[[#This Row],[Number of Data Rows]] + doc_tablesList[[#This Row],[Header Row]]</f>
        <v>45</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2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80</v>
      </c>
      <c r="H9" s="62">
        <f ca="1" xml:space="preserve"> MAX( INDIRECT( _xlfn.TEXTJOIN( "", , doc_tablesList[[#This Row],[Table Name]], "[", doc_tablesList[[#This Row],[ID_columnName]], "]" ) ) )</f>
        <v>42</v>
      </c>
      <c r="I9" s="62">
        <f ca="1" xml:space="preserve"> doc_tablesList[[#This Row],[Number of Data Rows]] + doc_tablesList[[#This Row],[Header Row]]</f>
        <v>122</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2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49</v>
      </c>
      <c r="H10" s="62">
        <f ca="1" xml:space="preserve"> MAX( INDIRECT( _xlfn.TEXTJOIN( "", , doc_tablesList[[#This Row],[Table Name]], "[", doc_tablesList[[#This Row],[ID_columnName]], "]" ) ) )</f>
        <v>25</v>
      </c>
      <c r="I10" s="62">
        <f ca="1" xml:space="preserve"> doc_tablesList[[#This Row],[Number of Data Rows]] + doc_tablesList[[#This Row],[Header Row]]</f>
        <v>74</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2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126</v>
      </c>
      <c r="H11" s="62">
        <f ca="1" xml:space="preserve"> MAX( INDIRECT( _xlfn.TEXTJOIN( "", , doc_tablesList[[#This Row],[Table Name]], "[", doc_tablesList[[#This Row],[ID_columnName]], "]" ) ) )</f>
        <v>43</v>
      </c>
      <c r="I11" s="62">
        <f ca="1" xml:space="preserve"> doc_tablesList[[#This Row],[Number of Data Rows]] + doc_tablesList[[#This Row],[Header Row]]</f>
        <v>169</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2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174</v>
      </c>
      <c r="H12" s="62">
        <f ca="1" xml:space="preserve"> MAX( INDIRECT( _xlfn.TEXTJOIN( "", , doc_tablesList[[#This Row],[Table Name]], "[", doc_tablesList[[#This Row],[ID_columnName]], "]" ) ) )</f>
        <v>31</v>
      </c>
      <c r="I12" s="62">
        <f ca="1" xml:space="preserve"> doc_tablesList[[#This Row],[Number of Data Rows]] + doc_tablesList[[#This Row],[Header Row]]</f>
        <v>205</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2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252</v>
      </c>
      <c r="H13" s="62">
        <f ca="1" xml:space="preserve"> MAX( INDIRECT( _xlfn.TEXTJOIN( "", , doc_tablesList[[#This Row],[Table Name]], "[", doc_tablesList[[#This Row],[ID_columnName]], "]" ) ) )</f>
        <v>7</v>
      </c>
      <c r="I13" s="62">
        <f ca="1" xml:space="preserve"> doc_tablesList[[#This Row],[Number of Data Rows]] + doc_tablesList[[#This Row],[Header Row]]</f>
        <v>259</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2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233</v>
      </c>
      <c r="H14" s="62">
        <f ca="1" xml:space="preserve"> MAX( INDIRECT( _xlfn.TEXTJOIN( "", , doc_tablesList[[#This Row],[Table Name]], "[", doc_tablesList[[#This Row],[ID_columnName]], "]" ) ) )</f>
        <v>14</v>
      </c>
      <c r="I14" s="62">
        <f ca="1" xml:space="preserve"> doc_tablesList[[#This Row],[Number of Data Rows]] + doc_tablesList[[#This Row],[Header Row]]</f>
        <v>247</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2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210</v>
      </c>
      <c r="H15" s="62">
        <f ca="1" xml:space="preserve"> MAX( INDIRECT( _xlfn.TEXTJOIN( "", , doc_tablesList[[#This Row],[Table Name]], "[", doc_tablesList[[#This Row],[ID_columnName]], "]" ) ) )</f>
        <v>3</v>
      </c>
      <c r="I15" s="62">
        <f ca="1" xml:space="preserve"> doc_tablesList[[#This Row],[Number of Data Rows]] + doc_tablesList[[#This Row],[Header Row]]</f>
        <v>213</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2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226</v>
      </c>
      <c r="H16" s="62">
        <f ca="1" xml:space="preserve"> MAX( INDIRECT( _xlfn.TEXTJOIN( "", , doc_tablesList[[#This Row],[Table Name]], "[", doc_tablesList[[#This Row],[ID_columnName]], "]" ) ) )</f>
        <v>2</v>
      </c>
      <c r="I16" s="62">
        <f ca="1" xml:space="preserve"> doc_tablesList[[#This Row],[Number of Data Rows]] + doc_tablesList[[#This Row],[Header Row]]</f>
        <v>228</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2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264</v>
      </c>
      <c r="H17" s="62">
        <f ca="1" xml:space="preserve"> MAX( INDIRECT( _xlfn.TEXTJOIN( "", , doc_tablesList[[#This Row],[Table Name]], "[", doc_tablesList[[#This Row],[ID_columnName]], "]" ) ) )</f>
        <v>4</v>
      </c>
      <c r="I17" s="62">
        <f ca="1" xml:space="preserve"> doc_tablesList[[#This Row],[Number of Data Rows]] + doc_tablesList[[#This Row],[Header Row]]</f>
        <v>268</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2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2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2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2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273</v>
      </c>
      <c r="H21" s="62">
        <f ca="1" xml:space="preserve"> MAX( INDIRECT( _xlfn.TEXTJOIN( "", , doc_tablesList[[#This Row],[Table Name]], "[", doc_tablesList[[#This Row],[ID_columnName]], "]" ) ) )</f>
        <v>49</v>
      </c>
      <c r="I21" s="62">
        <f ca="1" xml:space="preserve"> doc_tablesList[[#This Row],[Number of Data Rows]] + doc_tablesList[[#This Row],[Header Row]]</f>
        <v>322</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row r="22" spans="2:14" x14ac:dyDescent="0.25">
      <c r="B22" s="7">
        <f xml:space="preserve"> ROW( doc_tablesList[[#This Row],[ID]] ) - ROW(doc_tablesList[[#Headers],[ID]] )</f>
        <v>19</v>
      </c>
      <c r="C22" s="14" t="s">
        <v>1430</v>
      </c>
      <c r="D22" s="58">
        <v>1</v>
      </c>
      <c r="E22" s="14" t="s">
        <v>971</v>
      </c>
      <c r="F22" s="58" t="str">
        <f xml:space="preserve"> "row_id"</f>
        <v>row_id</v>
      </c>
      <c r="G22" s="62" cm="1">
        <f t="array" aca="1" ref="G22" ca="1" xml:space="preserve"> INDEX( ROW( INDIRECT( _xlfn.TEXTJOIN( "", , doc_tablesList[[#This Row],[Table Name]], "[[#Headers],[", doc_tablesList[[#This Row],[ID_columnName]], "]]" ) ) ), 1 )</f>
        <v>328</v>
      </c>
      <c r="H22" s="62">
        <f ca="1" xml:space="preserve"> MAX( INDIRECT( _xlfn.TEXTJOIN( "", , doc_tablesList[[#This Row],[Table Name]], "[", doc_tablesList[[#This Row],[ID_columnName]], "]" ) ) )</f>
        <v>2</v>
      </c>
      <c r="I22" s="62">
        <f ca="1" xml:space="preserve"> doc_tablesList[[#This Row],[Number of Data Rows]] + doc_tablesList[[#This Row],[Header Row]]</f>
        <v>330</v>
      </c>
      <c r="J22" s="62" cm="1">
        <f t="array" aca="1" ref="J22" ca="1" xml:space="preserve"> INDEX( COLUMN( INDIRECT( doc_tablesList[[#This Row],[Table Name]] &amp; "[" &amp; doc_tablesList[[#This Row],[ID_columnName]] &amp; "]" ) ), 1 )</f>
        <v>2</v>
      </c>
      <c r="K22" s="62" cm="1">
        <f t="array" aca="1" ref="K22" ca="1" xml:space="preserve"> MAX( COLUMN( INDIRECT( doc_tablesList[[#This Row],[Table Name]] ) ) )</f>
        <v>10</v>
      </c>
      <c r="L22" s="62">
        <f ca="1" xml:space="preserve"> doc_tablesList[[#This Row],[last_colIndex]] - doc_tablesList[[#This Row],[id_colIndex]] + 1</f>
        <v>9</v>
      </c>
      <c r="M22" s="84"/>
      <c r="N22" s="83" t="s">
        <v>1431</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1269</v>
      </c>
      <c r="E3" s="12" t="s">
        <v>1270</v>
      </c>
    </row>
    <row r="4" spans="1:5" x14ac:dyDescent="0.25">
      <c r="B4" s="7">
        <f xml:space="preserve"> ROW( testDev[[#This Row],[row_id]] ) - ROW(testDev[[#Headers],[row_id]] )</f>
        <v>1</v>
      </c>
      <c r="C4" s="14" t="s">
        <v>243</v>
      </c>
      <c r="D4" s="58" t="s">
        <v>1271</v>
      </c>
      <c r="E4" s="83" t="s">
        <v>1272</v>
      </c>
    </row>
    <row r="5" spans="1:5" ht="45" x14ac:dyDescent="0.25">
      <c r="B5" s="7">
        <f xml:space="preserve"> ROW( testDev[[#This Row],[row_id]] ) - ROW(testDev[[#Headers],[row_id]] )</f>
        <v>2</v>
      </c>
      <c r="C5" s="14" t="s">
        <v>836</v>
      </c>
      <c r="D5" s="58" t="s">
        <v>1273</v>
      </c>
      <c r="E5" s="83" t="s">
        <v>1274</v>
      </c>
    </row>
    <row r="6" spans="1:5" ht="45" x14ac:dyDescent="0.25">
      <c r="B6" s="7">
        <f xml:space="preserve"> ROW( testDev[[#This Row],[row_id]] ) - ROW(testDev[[#Headers],[row_id]] )</f>
        <v>3</v>
      </c>
      <c r="C6" s="14" t="s">
        <v>908</v>
      </c>
      <c r="D6" s="58" t="s">
        <v>1271</v>
      </c>
      <c r="E6" s="83" t="s">
        <v>1275</v>
      </c>
    </row>
    <row r="7" spans="1:5" x14ac:dyDescent="0.25">
      <c r="B7" s="7">
        <f xml:space="preserve"> ROW( testDev[[#This Row],[row_id]] ) - ROW(testDev[[#Headers],[row_id]] )</f>
        <v>4</v>
      </c>
      <c r="C7" s="14" t="s">
        <v>828</v>
      </c>
      <c r="D7" s="58" t="s">
        <v>1276</v>
      </c>
      <c r="E7" s="83" t="s">
        <v>1277</v>
      </c>
    </row>
    <row r="8" spans="1:5" x14ac:dyDescent="0.25">
      <c r="B8" s="7">
        <f xml:space="preserve"> ROW( testDev[[#This Row],[row_id]] ) - ROW(testDev[[#Headers],[row_id]] )</f>
        <v>5</v>
      </c>
      <c r="C8" s="14" t="s">
        <v>1157</v>
      </c>
      <c r="D8" s="58" t="s">
        <v>1276</v>
      </c>
      <c r="E8" s="83" t="s">
        <v>1277</v>
      </c>
    </row>
    <row r="9" spans="1:5" ht="22.5" x14ac:dyDescent="0.25">
      <c r="B9" s="7">
        <f xml:space="preserve"> ROW( testDev[[#This Row],[row_id]] ) - ROW(testDev[[#Headers],[row_id]] )</f>
        <v>6</v>
      </c>
      <c r="C9" s="14" t="s">
        <v>1235</v>
      </c>
      <c r="D9" s="58" t="s">
        <v>1271</v>
      </c>
      <c r="E9" s="83" t="s">
        <v>1278</v>
      </c>
    </row>
    <row r="10" spans="1:5" x14ac:dyDescent="0.25">
      <c r="B10" s="7">
        <f xml:space="preserve"> ROW( testDev[[#This Row],[row_id]] ) - ROW(testDev[[#Headers],[row_id]] )</f>
        <v>7</v>
      </c>
      <c r="C10" s="14" t="s">
        <v>837</v>
      </c>
      <c r="D10" s="58" t="s">
        <v>1271</v>
      </c>
      <c r="E10" s="83" t="s">
        <v>1279</v>
      </c>
    </row>
    <row r="11" spans="1:5" ht="22.5" x14ac:dyDescent="0.25">
      <c r="B11" s="7">
        <f xml:space="preserve"> ROW( testDev[[#This Row],[row_id]] ) - ROW(testDev[[#Headers],[row_id]] )</f>
        <v>8</v>
      </c>
      <c r="C11" s="14" t="s">
        <v>838</v>
      </c>
      <c r="D11" s="58" t="s">
        <v>1271</v>
      </c>
      <c r="E11" s="83" t="s">
        <v>1280</v>
      </c>
    </row>
    <row r="12" spans="1:5" ht="33.75" x14ac:dyDescent="0.25">
      <c r="B12" s="7">
        <f xml:space="preserve"> ROW( testDev[[#This Row],[row_id]] ) - ROW(testDev[[#Headers],[row_id]] )</f>
        <v>9</v>
      </c>
      <c r="C12" s="14" t="s">
        <v>839</v>
      </c>
      <c r="D12" s="58" t="s">
        <v>1273</v>
      </c>
      <c r="E12" s="83" t="s">
        <v>1281</v>
      </c>
    </row>
    <row r="13" spans="1:5" x14ac:dyDescent="0.25">
      <c r="B13" s="7">
        <f xml:space="preserve"> ROW( testDev[[#This Row],[row_id]] ) - ROW(testDev[[#Headers],[row_id]] )</f>
        <v>10</v>
      </c>
      <c r="C13" s="14" t="s">
        <v>242</v>
      </c>
      <c r="D13" s="58" t="s">
        <v>1276</v>
      </c>
      <c r="E13" s="83" t="s">
        <v>1277</v>
      </c>
    </row>
    <row r="14" spans="1:5" x14ac:dyDescent="0.25">
      <c r="B14" s="7">
        <f xml:space="preserve"> ROW( testDev[[#This Row],[row_id]] ) - ROW(testDev[[#Headers],[row_id]] )</f>
        <v>11</v>
      </c>
      <c r="C14" s="14" t="s">
        <v>969</v>
      </c>
      <c r="D14" s="58" t="s">
        <v>1273</v>
      </c>
      <c r="E14" s="83" t="s">
        <v>1282</v>
      </c>
    </row>
    <row r="15" spans="1:5" ht="22.5" x14ac:dyDescent="0.25">
      <c r="B15" s="7">
        <f xml:space="preserve"> ROW( testDev[[#This Row],[row_id]] ) - ROW(testDev[[#Headers],[row_id]] )</f>
        <v>12</v>
      </c>
      <c r="C15" s="14" t="s">
        <v>918</v>
      </c>
      <c r="D15" s="58" t="s">
        <v>1276</v>
      </c>
      <c r="E15" s="83" t="s">
        <v>1283</v>
      </c>
    </row>
    <row r="16" spans="1:5" x14ac:dyDescent="0.25">
      <c r="B16" s="7">
        <f xml:space="preserve"> ROW( testDev[[#This Row],[row_id]] ) - ROW(testDev[[#Headers],[row_id]] )</f>
        <v>13</v>
      </c>
      <c r="C16" s="14" t="s">
        <v>970</v>
      </c>
      <c r="D16" s="58" t="s">
        <v>1276</v>
      </c>
      <c r="E16" s="83" t="s">
        <v>1284</v>
      </c>
    </row>
    <row r="17" spans="2:5" x14ac:dyDescent="0.25">
      <c r="B17" s="7">
        <f xml:space="preserve"> ROW( testDev[[#This Row],[row_id]] ) - ROW(testDev[[#Headers],[row_id]] )</f>
        <v>14</v>
      </c>
      <c r="C17" s="14" t="s">
        <v>1066</v>
      </c>
      <c r="D17" s="58" t="s">
        <v>1276</v>
      </c>
      <c r="E17" s="83" t="s">
        <v>1277</v>
      </c>
    </row>
    <row r="18" spans="2:5" x14ac:dyDescent="0.25">
      <c r="B18" s="7">
        <f xml:space="preserve"> ROW( testDev[[#This Row],[row_id]] ) - ROW(testDev[[#Headers],[row_id]] )</f>
        <v>15</v>
      </c>
      <c r="C18" s="14" t="s">
        <v>1065</v>
      </c>
      <c r="D18" s="58" t="s">
        <v>1276</v>
      </c>
      <c r="E18" s="83" t="s">
        <v>1285</v>
      </c>
    </row>
    <row r="19" spans="2:5" ht="45" x14ac:dyDescent="0.25">
      <c r="B19" s="7">
        <f xml:space="preserve"> ROW( testDev[[#This Row],[row_id]] ) - ROW(testDev[[#Headers],[row_id]] )</f>
        <v>16</v>
      </c>
      <c r="C19" s="14" t="s">
        <v>1158</v>
      </c>
      <c r="D19" s="58" t="s">
        <v>1273</v>
      </c>
      <c r="E19" s="83" t="s">
        <v>1286</v>
      </c>
    </row>
    <row r="20" spans="2:5" x14ac:dyDescent="0.25">
      <c r="B20" s="7">
        <f xml:space="preserve"> ROW( testDev[[#This Row],[row_id]] ) - ROW(testDev[[#Headers],[row_id]] )</f>
        <v>17</v>
      </c>
      <c r="C20" s="14" t="s">
        <v>1287</v>
      </c>
      <c r="D20" s="58" t="s">
        <v>1271</v>
      </c>
      <c r="E20" s="83" t="s">
        <v>1288</v>
      </c>
    </row>
    <row r="21" spans="2:5" ht="22.5" x14ac:dyDescent="0.25">
      <c r="B21" s="7">
        <f xml:space="preserve"> ROW( testDev[[#This Row],[row_id]] ) - ROW(testDev[[#Headers],[row_id]] )</f>
        <v>18</v>
      </c>
      <c r="C21" s="14" t="s">
        <v>1289</v>
      </c>
      <c r="D21" s="58" t="s">
        <v>1276</v>
      </c>
      <c r="E21" s="83" t="s">
        <v>1290</v>
      </c>
    </row>
    <row r="22" spans="2:5" x14ac:dyDescent="0.25">
      <c r="B22" s="7">
        <f xml:space="preserve"> ROW( testDev[[#This Row],[row_id]] ) - ROW(testDev[[#Headers],[row_id]] )</f>
        <v>19</v>
      </c>
      <c r="C22" s="14" t="s">
        <v>1291</v>
      </c>
      <c r="D22" s="58" t="s">
        <v>1271</v>
      </c>
      <c r="E22" s="83" t="s">
        <v>1292</v>
      </c>
    </row>
    <row r="23" spans="2:5" x14ac:dyDescent="0.25">
      <c r="B23" s="7">
        <f xml:space="preserve"> ROW( testDev[[#This Row],[row_id]] ) - ROW(testDev[[#Headers],[row_id]] )</f>
        <v>20</v>
      </c>
      <c r="C23" s="14" t="s">
        <v>1293</v>
      </c>
      <c r="D23" s="58" t="s">
        <v>1276</v>
      </c>
      <c r="E23" s="83" t="s">
        <v>1277</v>
      </c>
    </row>
    <row r="24" spans="2:5" x14ac:dyDescent="0.25">
      <c r="B24" s="7">
        <f xml:space="preserve"> ROW( testDev[[#This Row],[row_id]] ) - ROW(testDev[[#Headers],[row_id]] )</f>
        <v>21</v>
      </c>
      <c r="C24" s="14" t="s">
        <v>1294</v>
      </c>
      <c r="D24" s="58" t="s">
        <v>1276</v>
      </c>
      <c r="E24" s="83" t="s">
        <v>1277</v>
      </c>
    </row>
    <row r="25" spans="2:5" x14ac:dyDescent="0.25">
      <c r="B25" s="7">
        <f xml:space="preserve"> ROW( testDev[[#This Row],[row_id]] ) - ROW(testDev[[#Headers],[row_id]] )</f>
        <v>22</v>
      </c>
      <c r="C25" s="14" t="s">
        <v>1295</v>
      </c>
      <c r="D25" s="58" t="s">
        <v>1276</v>
      </c>
      <c r="E25" s="83" t="s">
        <v>1277</v>
      </c>
    </row>
    <row r="26" spans="2:5" x14ac:dyDescent="0.25">
      <c r="B26" s="7">
        <f xml:space="preserve"> ROW( testDev[[#This Row],[row_id]] ) - ROW(testDev[[#Headers],[row_id]] )</f>
        <v>23</v>
      </c>
      <c r="C26" s="14" t="s">
        <v>1296</v>
      </c>
      <c r="D26" s="58" t="s">
        <v>1276</v>
      </c>
      <c r="E26" s="83" t="s">
        <v>1277</v>
      </c>
    </row>
    <row r="27" spans="2:5" ht="45" x14ac:dyDescent="0.25">
      <c r="B27" s="7">
        <f xml:space="preserve"> ROW( testDev[[#This Row],[row_id]] ) - ROW(testDev[[#Headers],[row_id]] )</f>
        <v>24</v>
      </c>
      <c r="C27" s="14" t="s">
        <v>1297</v>
      </c>
      <c r="D27" s="58" t="s">
        <v>1273</v>
      </c>
      <c r="E27" s="83" t="s">
        <v>1298</v>
      </c>
    </row>
    <row r="28" spans="2:5" ht="22.5" x14ac:dyDescent="0.2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0"/>
  <sheetViews>
    <sheetView tabSelected="1" topLeftCell="A257" zoomScale="90" zoomScaleNormal="90" workbookViewId="0">
      <pane xSplit="3" topLeftCell="D1" activePane="topRight" state="frozen"/>
      <selection pane="topRight" activeCell="K329" sqref="K329:K330"/>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1026</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1037</v>
      </c>
    </row>
    <row r="3" spans="1:21" x14ac:dyDescent="0.2">
      <c r="C3" s="85" t="str">
        <f ca="1" xml:space="preserve"> OFFSET( INDIRECT( ADDRESS( ROW( co_impactYears[[#Headers],[row_id]] ), COLUMN( co_impactYears[[#Headers],[row_id]] ), , , ) ), -2, , 1, 1 )</f>
        <v>Impact Year Estimates</v>
      </c>
      <c r="D3" s="4" t="s">
        <v>1038</v>
      </c>
    </row>
    <row r="4" spans="1:21" x14ac:dyDescent="0.2">
      <c r="C4" s="85" t="str">
        <f ca="1" xml:space="preserve"> OFFSET( INDIRECT( ADDRESS( ROW( co_variants[[#Headers],[row_id]] ), COLUMN( co_variants[[#Headers],[row_id]] ), , , ) ), -4, , 1, 1 )</f>
        <v>Variants Table</v>
      </c>
      <c r="D4" s="4" t="s">
        <v>1039</v>
      </c>
    </row>
    <row r="5" spans="1:21" x14ac:dyDescent="0.2">
      <c r="C5" s="85" t="str">
        <f ca="1" xml:space="preserve"> OFFSET( INDIRECT( ADDRESS( ROW( co_impactTypes[[#Headers],[row_id]] ), COLUMN( co_impactTypes[[#Headers],[row_id]] ), , , ) ), -2, , 1, 1 )</f>
        <v>Impact Types</v>
      </c>
      <c r="D5" s="4" t="s">
        <v>1040</v>
      </c>
    </row>
    <row r="6" spans="1:21" x14ac:dyDescent="0.2">
      <c r="C6" s="85" t="str">
        <f ca="1" xml:space="preserve"> OFFSET( INDIRECT( ADDRESS( ROW( co_scalarInfo[[#Headers],[row_id]] ), COLUMN( co_scalarInfo[[#Headers],[row_id]] ), , , ) ), -2, , 1, 1 )</f>
        <v>Scalar Information</v>
      </c>
      <c r="D6" s="4" t="s">
        <v>1041</v>
      </c>
    </row>
    <row r="7" spans="1:21" x14ac:dyDescent="0.2">
      <c r="C7" s="85" t="str">
        <f ca="1" xml:space="preserve"> OFFSET( INDIRECT( ADDRESS( ROW( co_econMultipliers[[#Headers],[row_id]] ), COLUMN( co_econMultipliers[[#Headers],[row_id]] ), , , ) ), -2, , 1, 1 )</f>
        <v>Economic Multipliers</v>
      </c>
      <c r="D7" s="4" t="s">
        <v>1042</v>
      </c>
    </row>
    <row r="8" spans="1:21" x14ac:dyDescent="0.2">
      <c r="C8" s="85" t="str">
        <f ca="1" xml:space="preserve"> OFFSET( INDIRECT( ADDRESS( ROW( co_constants[[#Headers],[row_id]] ), COLUMN( co_constants[[#Headers],[row_id]] ), , , ) ), -2, , 1, 1 )</f>
        <v>Constants</v>
      </c>
      <c r="D8" s="4" t="s">
        <v>1032</v>
      </c>
    </row>
    <row r="9" spans="1:21" x14ac:dyDescent="0.2">
      <c r="C9" s="85" t="str">
        <f ca="1" xml:space="preserve"> OFFSET( INDIRECT( ADDRESS( ROW( co_modelTypes[[#Headers],[row_id]] ), COLUMN( co_modelTypes[[#Headers],[row_id]] ), , , ) ), -2, , 1, 1 )</f>
        <v>Model Types</v>
      </c>
      <c r="D9" s="4" t="s">
        <v>1033</v>
      </c>
    </row>
    <row r="10" spans="1:21" x14ac:dyDescent="0.2">
      <c r="C10" s="85" t="str">
        <f ca="1" xml:space="preserve"> OFFSET( INDIRECT( ADDRESS( ROW( co_models[[#Headers],[row_id]] ), COLUMN( co_models[[#Headers],[row_id]] ), , , ) ), -2, , 1, 1 )</f>
        <v>Binning Models</v>
      </c>
      <c r="D10" s="4" t="s">
        <v>1034</v>
      </c>
    </row>
    <row r="11" spans="1:21" x14ac:dyDescent="0.2">
      <c r="C11" s="85" t="str">
        <f ca="1" xml:space="preserve"> OFFSET( INDIRECT( ADDRESS( ROW( co_regions[[#Headers],[row_id]] ), COLUMN( co_regions[[#Headers],[row_id]] ), , , ) ), -2, , 1, 1 )</f>
        <v>Regions</v>
      </c>
      <c r="D11" s="4" t="s">
        <v>1043</v>
      </c>
    </row>
    <row r="12" spans="1:21" x14ac:dyDescent="0.2">
      <c r="C12" s="85" t="str">
        <f ca="1" xml:space="preserve"> OFFSET( INDIRECT( ADDRESS( ROW( co_inputScenarioInfo[[#Headers],[row_id]] ), COLUMN( co_inputScenarioInfo[[#Headers],[row_id]] ), , , ) ), -2, , 1, 1 )</f>
        <v>Input Scenario Information</v>
      </c>
      <c r="D12" s="4" t="s">
        <v>1068</v>
      </c>
    </row>
    <row r="13" spans="1:21" x14ac:dyDescent="0.2">
      <c r="C13" s="85" t="str">
        <f ca="1" xml:space="preserve"> OFFSET( INDIRECT( ADDRESS( ROW( co_states[[#Headers],[row_id]] ), COLUMN( co_states[[#Headers],[row_id]] ), , , ) ), -2, , 1, 1 )</f>
        <v>States</v>
      </c>
      <c r="D13" s="4" t="s">
        <v>1421</v>
      </c>
    </row>
    <row r="14" spans="1:21" x14ac:dyDescent="0.2">
      <c r="C14" s="85" t="str">
        <f ca="1" xml:space="preserve"> OFFSET( INDIRECT( ADDRESS( ROW( co_slrScalars[[#Headers],[row_id]] ), COLUMN( co_slrScalars[[#Headers],[row_id]] ), , , ) ), -3, , 1, 1 )</f>
        <v>SLR Scalars</v>
      </c>
      <c r="D14" s="4" t="s">
        <v>1429</v>
      </c>
    </row>
    <row r="16" spans="1:21" ht="22.5" x14ac:dyDescent="0.2">
      <c r="C16" s="89" t="s">
        <v>1025</v>
      </c>
      <c r="D16" s="86" t="s">
        <v>1031</v>
      </c>
      <c r="E16" s="87" t="s">
        <v>1016</v>
      </c>
      <c r="F16" s="88" t="s">
        <v>1024</v>
      </c>
    </row>
    <row r="18" spans="1:21" ht="15" x14ac:dyDescent="0.25">
      <c r="A18" s="47"/>
      <c r="B18" s="48" t="s">
        <v>238</v>
      </c>
      <c r="C18" s="48"/>
      <c r="D18" s="48"/>
      <c r="E18" s="48"/>
      <c r="F18" s="48"/>
      <c r="G18" s="48"/>
      <c r="H18" s="48"/>
      <c r="I18" s="48"/>
      <c r="J18" s="48"/>
      <c r="K18" s="48"/>
      <c r="L18" s="48"/>
      <c r="M18" s="48"/>
      <c r="N18" s="48"/>
      <c r="O18" s="48"/>
      <c r="P18" s="48"/>
      <c r="Q18" s="48"/>
      <c r="R18" s="48"/>
      <c r="S18" s="48"/>
      <c r="T18" s="48"/>
      <c r="U18" s="48"/>
    </row>
    <row r="20" spans="1:21" ht="38.25" x14ac:dyDescent="0.2">
      <c r="B20" s="49" t="s">
        <v>780</v>
      </c>
      <c r="C20" s="50" t="s">
        <v>219</v>
      </c>
      <c r="D20" s="49" t="s">
        <v>247</v>
      </c>
      <c r="E20" s="51" t="s">
        <v>760</v>
      </c>
      <c r="F20" s="51" t="s">
        <v>890</v>
      </c>
      <c r="G20" s="51" t="s">
        <v>1424</v>
      </c>
      <c r="H20" s="51" t="s">
        <v>1036</v>
      </c>
      <c r="I20" s="51" t="s">
        <v>1245</v>
      </c>
      <c r="J20" s="51" t="s">
        <v>831</v>
      </c>
      <c r="K20" s="51" t="s">
        <v>832</v>
      </c>
      <c r="L20" s="51" t="s">
        <v>1246</v>
      </c>
      <c r="M20" s="51" t="s">
        <v>975</v>
      </c>
      <c r="N20" s="51" t="s">
        <v>976</v>
      </c>
      <c r="O20" s="51" t="s">
        <v>977</v>
      </c>
      <c r="P20" s="51" t="s">
        <v>978</v>
      </c>
      <c r="Q20" s="51" t="s">
        <v>1023</v>
      </c>
    </row>
    <row r="21" spans="1:21" ht="22.5" x14ac:dyDescent="0.2">
      <c r="B21" s="118">
        <f xml:space="preserve"> ROW( co_sectors[[#This Row],[row_id]] ) - ROW( co_sectors[[#Headers],[row_id]] )</f>
        <v>1</v>
      </c>
      <c r="C21" s="119" t="s">
        <v>559</v>
      </c>
      <c r="D21" s="54" t="s">
        <v>762</v>
      </c>
      <c r="E21" s="27">
        <v>1</v>
      </c>
      <c r="F21" s="30" t="s">
        <v>819</v>
      </c>
      <c r="G21" s="30">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8" cm="1">
        <f t="array" ref="L21" xml:space="preserve"> SUMPRODUCT( --( co_sectors[[#This Row],[sector_id]] = co_variants[sector_id] ) )</f>
        <v>2</v>
      </c>
      <c r="M21" s="68" cm="1">
        <f t="array" ref="M21" xml:space="preserve"> SUMPRODUCT( --( co_sectors[[#This Row],[sector_id]] = co_impactTypes[sector_id] ) )</f>
        <v>2</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252</v>
      </c>
    </row>
    <row r="22" spans="1:21" x14ac:dyDescent="0.2">
      <c r="B22" s="120">
        <f xml:space="preserve"> ROW( co_sectors[[#This Row],[row_id]] ) - ROW( co_sectors[[#Headers],[row_id]] )</f>
        <v>2</v>
      </c>
      <c r="C22" s="121" t="s">
        <v>1005</v>
      </c>
      <c r="D22" s="55" t="s">
        <v>1007</v>
      </c>
      <c r="E22" s="28">
        <v>1</v>
      </c>
      <c r="F22" s="31" t="s">
        <v>819</v>
      </c>
      <c r="G22" s="31">
        <v>0</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1</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63</v>
      </c>
    </row>
    <row r="23" spans="1:21" ht="33.75" x14ac:dyDescent="0.2">
      <c r="B23" s="122">
        <f xml:space="preserve"> ROW( co_sectors[[#This Row],[row_id]] ) - ROW( co_sectors[[#Headers],[row_id]] )</f>
        <v>3</v>
      </c>
      <c r="C23" s="119" t="s">
        <v>1248</v>
      </c>
      <c r="D23" s="54" t="s">
        <v>1263</v>
      </c>
      <c r="E23" s="27">
        <v>1</v>
      </c>
      <c r="F23" s="31" t="s">
        <v>819</v>
      </c>
      <c r="G23" s="31">
        <v>1</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8" cm="1">
        <f t="array" ref="L23" xml:space="preserve"> SUMPRODUCT( --( co_sectors[[#This Row],[sector_id]] = co_variants[sector_id] ) )</f>
        <v>3</v>
      </c>
      <c r="M23" s="68" cm="1">
        <f t="array" ref="M23" xml:space="preserve"> SUMPRODUCT( --( co_sectors[[#This Row],[sector_id]] = co_impactTypes[sector_id] ) )</f>
        <v>1</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189</v>
      </c>
    </row>
    <row r="24" spans="1:21" ht="22.5" x14ac:dyDescent="0.2">
      <c r="B24" s="122">
        <f xml:space="preserve"> ROW( co_sectors[[#This Row],[row_id]] ) - ROW( co_sectors[[#Headers],[row_id]] )</f>
        <v>4</v>
      </c>
      <c r="C24" s="119" t="s">
        <v>1229</v>
      </c>
      <c r="D24" s="54" t="s">
        <v>1231</v>
      </c>
      <c r="E24" s="27">
        <v>1</v>
      </c>
      <c r="F24" s="31" t="s">
        <v>819</v>
      </c>
      <c r="G24" s="31">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8" cm="1">
        <f t="array" ref="L24" xml:space="preserve"> SUMPRODUCT( --( co_sectors[[#This Row],[sector_id]] = co_variants[sector_id] ) )</f>
        <v>2</v>
      </c>
      <c r="M24" s="68" cm="1">
        <f t="array" ref="M24" xml:space="preserve"> SUMPRODUCT( --( co_sectors[[#This Row],[sector_id]] = co_impactTypes[sector_id] ) )</f>
        <v>4</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504</v>
      </c>
    </row>
    <row r="25" spans="1:21" x14ac:dyDescent="0.2">
      <c r="B25" s="122">
        <f xml:space="preserve"> ROW( co_sectors[[#This Row],[row_id]] ) - ROW( co_sectors[[#Headers],[row_id]] )</f>
        <v>5</v>
      </c>
      <c r="C25" s="119" t="s">
        <v>1230</v>
      </c>
      <c r="D25" s="54" t="s">
        <v>1232</v>
      </c>
      <c r="E25" s="27">
        <v>1</v>
      </c>
      <c r="F25" s="30" t="s">
        <v>819</v>
      </c>
      <c r="G25" s="30">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8" cm="1">
        <f t="array" ref="L25" xml:space="preserve"> SUMPRODUCT( --( co_sectors[[#This Row],[sector_id]] = co_variants[sector_id] ) )</f>
        <v>1</v>
      </c>
      <c r="M25" s="68" cm="1">
        <f t="array" ref="M25" xml:space="preserve"> SUMPRODUCT( --( co_sectors[[#This Row],[sector_id]] = co_impactTypes[sector_id] ) )</f>
        <v>2</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126</v>
      </c>
    </row>
    <row r="26" spans="1:21" ht="33.75" x14ac:dyDescent="0.2">
      <c r="B26" s="122">
        <f xml:space="preserve"> ROW( co_sectors[[#This Row],[row_id]] ) - ROW( co_sectors[[#Headers],[row_id]] )</f>
        <v>6</v>
      </c>
      <c r="C26" s="123" t="s">
        <v>1159</v>
      </c>
      <c r="D26" s="113" t="s">
        <v>1160</v>
      </c>
      <c r="E26" s="114">
        <v>1</v>
      </c>
      <c r="F26" s="109" t="s">
        <v>819</v>
      </c>
      <c r="G26" s="109">
        <v>0</v>
      </c>
      <c r="H26" s="52"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9</v>
      </c>
      <c r="P26" s="68" cm="1">
        <f t="array" ref="P26" xml:space="preserve"> INDEX( co_modelTypes[Number of levels], MATCH( 1, --( co_sectors[[#This Row],[modelType]] = co_modelTypes[modelType_id] ), 0 ) )</f>
        <v>7</v>
      </c>
      <c r="Q26" s="68">
        <f xml:space="preserve"> PRODUCT( co_sectors[[#This Row],[Number of variants]:[Number of levels]] )</f>
        <v>189</v>
      </c>
    </row>
    <row r="27" spans="1:21" ht="45" x14ac:dyDescent="0.2">
      <c r="B27" s="122">
        <f xml:space="preserve"> ROW( co_sectors[[#This Row],[row_id]] ) - ROW( co_sectors[[#Headers],[row_id]] )</f>
        <v>7</v>
      </c>
      <c r="C27" s="119" t="s">
        <v>86</v>
      </c>
      <c r="D27" s="54" t="s">
        <v>198</v>
      </c>
      <c r="E27" s="27">
        <v>1</v>
      </c>
      <c r="F27" s="31" t="s">
        <v>818</v>
      </c>
      <c r="G27" s="31">
        <v>0</v>
      </c>
      <c r="H27" s="53"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3</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6</v>
      </c>
      <c r="P27" s="68" cm="1">
        <f t="array" ref="P27" xml:space="preserve"> INDEX( co_modelTypes[Number of levels], MATCH( 1, --( co_sectors[[#This Row],[modelType]] = co_modelTypes[modelType_id] ), 0 ) )</f>
        <v>6</v>
      </c>
      <c r="Q27" s="68">
        <f xml:space="preserve"> PRODUCT( co_sectors[[#This Row],[Number of variants]:[Number of levels]] )</f>
        <v>108</v>
      </c>
    </row>
    <row r="28" spans="1:21" ht="22.5" x14ac:dyDescent="0.2">
      <c r="B28" s="122">
        <f xml:space="preserve"> ROW( co_sectors[[#This Row],[row_id]] ) - ROW( co_sectors[[#Headers],[row_id]] )</f>
        <v>8</v>
      </c>
      <c r="C28" s="124" t="s">
        <v>220</v>
      </c>
      <c r="D28" s="54" t="s">
        <v>1004</v>
      </c>
      <c r="E28" s="28">
        <v>1</v>
      </c>
      <c r="F28" s="30" t="s">
        <v>819</v>
      </c>
      <c r="G28" s="30">
        <v>0</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1</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63</v>
      </c>
    </row>
    <row r="29" spans="1:21" ht="45" x14ac:dyDescent="0.2">
      <c r="B29" s="122">
        <f xml:space="preserve"> ROW( co_sectors[[#This Row],[row_id]] ) - ROW( co_sectors[[#Headers],[row_id]] )</f>
        <v>9</v>
      </c>
      <c r="C29" s="124" t="s">
        <v>1002</v>
      </c>
      <c r="D29" s="54" t="s">
        <v>1001</v>
      </c>
      <c r="E29" s="28">
        <v>1</v>
      </c>
      <c r="F29" s="30" t="s">
        <v>819</v>
      </c>
      <c r="G29" s="30">
        <v>1</v>
      </c>
      <c r="H29" s="52" cm="1">
        <f t="array" ref="H29" xml:space="preserve"> IF( AND( SUMPRODUCT( co_impactYears[2010], --( co_sectors[[#This Row],[sector_id]] = co_impactYears[sector_id] ) ) &gt; 1,  SUMPRODUCT( co_impactYears[2090], --( co_sectors[[#This Row],[sector_id]] = co_impactYears[sector_id] ) ) &gt; 1 ), 1, 0 )</f>
        <v>0</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8" t="str">
        <f ca="1" xml:space="preserve"> _xlfn.TEXTJOIN( ", ", 1,
  OFFSET( INDIRECT( ADDRESS( ROW( INDEX( co_impactYears[sector_id], MATCH( co_sectors[[#This Row],[sector_id]], co_impactYears[sector_id], 0 ) ) ),  COLUMN( co_impactYears[[#Headers],[sector_id]] ), , , "controlTables" ) ), 0, 1, 1, 4 )
)</f>
        <v>N/A</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8" cm="1">
        <f t="array" ref="L29" xml:space="preserve"> SUMPRODUCT( --( co_sectors[[#This Row],[sector_id]] = co_variants[sector_id] ) )</f>
        <v>3</v>
      </c>
      <c r="M29" s="68" cm="1">
        <f t="array" ref="M29" xml:space="preserve"> SUMPRODUCT( --( co_sectors[[#This Row],[sector_id]] = co_impactTypes[sector_id] ) )</f>
        <v>1</v>
      </c>
      <c r="N29" s="68" cm="1">
        <f t="array" ref="N29" xml:space="preserve"> IF( INDEX( co_impactYears[N/A], MATCH( 1, --( co_sectors[[#This Row],[sector_id]] = co_impactYears[sector_id] ), 0 ) ) = "N/A", 1, 2 )</f>
        <v>1</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189</v>
      </c>
    </row>
    <row r="30" spans="1:21" ht="22.5" x14ac:dyDescent="0.2">
      <c r="B30" s="122">
        <f xml:space="preserve"> ROW( co_sectors[[#This Row],[row_id]] ) - ROW( co_sectors[[#Headers],[row_id]] )</f>
        <v>10</v>
      </c>
      <c r="C30" s="119" t="s">
        <v>17</v>
      </c>
      <c r="D30" s="54" t="s">
        <v>199</v>
      </c>
      <c r="E30" s="27">
        <v>1</v>
      </c>
      <c r="F30" s="30" t="s">
        <v>819</v>
      </c>
      <c r="G30" s="30">
        <v>0</v>
      </c>
      <c r="H30" s="52" cm="1">
        <f t="array" ref="H30" xml:space="preserve"> IF( AND( SUMPRODUCT( co_impactYears[2010], --( co_sectors[[#This Row],[sector_id]] = co_impactYears[sector_id] ) ) &gt; 1,  SUMPRODUCT( co_impactYears[2090], --( co_sectors[[#This Row],[sector_id]] = co_impactYears[sector_id] ) ) &gt; 1 ), 1, 0 )</f>
        <v>1</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8" t="str">
        <f ca="1" xml:space="preserve"> _xlfn.TEXTJOIN( ", ", 1,
  OFFSET( INDIRECT( ADDRESS( ROW( INDEX( co_impactYears[sector_id], MATCH( co_sectors[[#This Row],[sector_id]], co_impactYears[sector_id], 0 ) ) ),  COLUMN( co_impactYears[[#Headers],[sector_id]] ), , , "controlTables" ) ), 0, 1, 1, 4 )
)</f>
        <v>2010, 2090</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8" cm="1">
        <f t="array" ref="L30" xml:space="preserve"> SUMPRODUCT( --( co_sectors[[#This Row],[sector_id]] = co_variants[sector_id] ) )</f>
        <v>2</v>
      </c>
      <c r="M30" s="68" cm="1">
        <f t="array" ref="M30" xml:space="preserve"> SUMPRODUCT( --( co_sectors[[#This Row],[sector_id]] = co_impactTypes[sector_id] ) )</f>
        <v>2</v>
      </c>
      <c r="N30" s="68" cm="1">
        <f t="array" ref="N30" xml:space="preserve"> IF( INDEX( co_impactYears[N/A], MATCH( 1, --( co_sectors[[#This Row],[sector_id]] = co_impactYears[sector_id] ), 0 ) ) = "N/A", 1, 2 )</f>
        <v>2</v>
      </c>
      <c r="O30" s="68" cm="1">
        <f t="array" ref="O30" xml:space="preserve"> INDEX( co_modelTypes[Number of models], MATCH( 1, --( co_sectors[[#This Row],[modelType]] = co_modelTypes[modelType_id] ), 0 ) ) + IF( co_sectors[[#This Row],[modelType]] = "gcm", 1, 0 )</f>
        <v>9</v>
      </c>
      <c r="P30" s="68" cm="1">
        <f t="array" ref="P30" xml:space="preserve"> INDEX( co_modelTypes[Number of levels], MATCH( 1, --( co_sectors[[#This Row],[modelType]] = co_modelTypes[modelType_id] ), 0 ) )</f>
        <v>7</v>
      </c>
      <c r="Q30" s="68">
        <f xml:space="preserve"> PRODUCT( co_sectors[[#This Row],[Number of variants]:[Number of levels]] )</f>
        <v>504</v>
      </c>
    </row>
    <row r="31" spans="1:21" ht="45" x14ac:dyDescent="0.2">
      <c r="B31" s="122">
        <f xml:space="preserve"> ROW( co_sectors[[#This Row],[row_id]] ) - ROW( co_sectors[[#Headers],[row_id]] )</f>
        <v>11</v>
      </c>
      <c r="C31" s="119" t="s">
        <v>221</v>
      </c>
      <c r="D31" s="54" t="s">
        <v>222</v>
      </c>
      <c r="E31" s="27">
        <v>1</v>
      </c>
      <c r="F31" s="31" t="s">
        <v>818</v>
      </c>
      <c r="G31" s="31">
        <v>1</v>
      </c>
      <c r="H31" s="53"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3</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6</v>
      </c>
      <c r="P31" s="68" cm="1">
        <f t="array" ref="P31" xml:space="preserve"> INDEX( co_modelTypes[Number of levels], MATCH( 1, --( co_sectors[[#This Row],[modelType]] = co_modelTypes[modelType_id] ), 0 ) )</f>
        <v>6</v>
      </c>
      <c r="Q31" s="68">
        <f xml:space="preserve"> PRODUCT( co_sectors[[#This Row],[Number of variants]:[Number of levels]] )</f>
        <v>108</v>
      </c>
    </row>
    <row r="32" spans="1:21" x14ac:dyDescent="0.2">
      <c r="B32" s="122">
        <f xml:space="preserve"> ROW( co_sectors[[#This Row],[row_id]] ) - ROW( co_sectors[[#Headers],[row_id]] )</f>
        <v>12</v>
      </c>
      <c r="C32" s="119" t="s">
        <v>84</v>
      </c>
      <c r="D32" s="54" t="s">
        <v>1085</v>
      </c>
      <c r="E32" s="27">
        <v>1</v>
      </c>
      <c r="F32" s="31" t="s">
        <v>819</v>
      </c>
      <c r="G32" s="31">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2">
      <c r="B33" s="122">
        <f xml:space="preserve"> ROW( co_sectors[[#This Row],[row_id]] ) - ROW( co_sectors[[#Headers],[row_id]] )</f>
        <v>13</v>
      </c>
      <c r="C33" s="119" t="s">
        <v>34</v>
      </c>
      <c r="D33" s="54" t="s">
        <v>34</v>
      </c>
      <c r="E33" s="27">
        <v>1</v>
      </c>
      <c r="F33" s="30" t="s">
        <v>819</v>
      </c>
      <c r="G33" s="30">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2">
      <c r="B34" s="122">
        <f xml:space="preserve"> ROW( co_sectors[[#This Row],[row_id]] ) - ROW( co_sectors[[#Headers],[row_id]] )</f>
        <v>14</v>
      </c>
      <c r="C34" s="123" t="s">
        <v>223</v>
      </c>
      <c r="D34" s="113" t="s">
        <v>1162</v>
      </c>
      <c r="E34" s="114">
        <v>1</v>
      </c>
      <c r="F34" s="109" t="s">
        <v>819</v>
      </c>
      <c r="G34" s="109">
        <v>0</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x14ac:dyDescent="0.2">
      <c r="B35" s="122">
        <f xml:space="preserve"> ROW( co_sectors[[#This Row],[row_id]] ) - ROW( co_sectors[[#Headers],[row_id]] )</f>
        <v>15</v>
      </c>
      <c r="C35" s="124" t="s">
        <v>1312</v>
      </c>
      <c r="D35" s="54" t="s">
        <v>1313</v>
      </c>
      <c r="E35" s="28">
        <v>1</v>
      </c>
      <c r="F35" s="31" t="s">
        <v>819</v>
      </c>
      <c r="G35" s="31">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1</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63</v>
      </c>
    </row>
    <row r="36" spans="1:21" ht="45" x14ac:dyDescent="0.2">
      <c r="B36" s="120">
        <f xml:space="preserve"> ROW( co_sectors[[#This Row],[row_id]] ) - ROW( co_sectors[[#Headers],[row_id]] )</f>
        <v>16</v>
      </c>
      <c r="C36" s="121" t="s">
        <v>209</v>
      </c>
      <c r="D36" s="55" t="s">
        <v>209</v>
      </c>
      <c r="E36" s="28">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5" x14ac:dyDescent="0.2">
      <c r="B37" s="122">
        <f xml:space="preserve"> ROW( co_sectors[[#This Row],[row_id]] ) - ROW( co_sectors[[#Headers],[row_id]] )</f>
        <v>17</v>
      </c>
      <c r="C37" s="119" t="s">
        <v>216</v>
      </c>
      <c r="D37" s="54" t="s">
        <v>216</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0</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8" t="str">
        <f ca="1" xml:space="preserve"> _xlfn.TEXTJOIN( ", ", 1,
  OFFSET( INDIRECT( ADDRESS( ROW( INDEX( co_impactYears[sector_id], MATCH( co_sectors[[#This Row],[sector_id]], co_impactYears[sector_id], 0 ) ) ),  COLUMN( co_impactYears[[#Headers],[sector_id]] ), , , "controlTables" ) ), 0, 1, 1, 4 )
)</f>
        <v>N/A</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8" cm="1">
        <f t="array" ref="L37" xml:space="preserve"> SUMPRODUCT( --( co_sectors[[#This Row],[sector_id]] = co_variants[sector_id] ) )</f>
        <v>3</v>
      </c>
      <c r="M37" s="68" cm="1">
        <f t="array" ref="M37" xml:space="preserve"> SUMPRODUCT( --( co_sectors[[#This Row],[sector_id]] = co_impactTypes[sector_id] ) )</f>
        <v>1</v>
      </c>
      <c r="N37" s="68" cm="1">
        <f t="array" ref="N37" xml:space="preserve"> IF( INDEX( co_impactYears[N/A], MATCH( 1, --( co_sectors[[#This Row],[sector_id]] = co_impactYears[sector_id] ), 0 ) ) = "N/A", 1, 2 )</f>
        <v>1</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189</v>
      </c>
    </row>
    <row r="38" spans="1:21" ht="56.25" x14ac:dyDescent="0.2">
      <c r="B38" s="120">
        <f xml:space="preserve"> ROW( co_sectors[[#This Row],[row_id]] ) - ROW( co_sectors[[#Headers],[row_id]] )</f>
        <v>18</v>
      </c>
      <c r="C38" s="121" t="s">
        <v>85</v>
      </c>
      <c r="D38" s="55" t="s">
        <v>197</v>
      </c>
      <c r="E38" s="29">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1</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2010, 2090</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8" cm="1">
        <f t="array" ref="L38" xml:space="preserve"> SUMPRODUCT( --( co_sectors[[#This Row],[sector_id]] = co_variants[sector_id] ) )</f>
        <v>1</v>
      </c>
      <c r="M38" s="68" cm="1">
        <f t="array" ref="M38" xml:space="preserve"> SUMPRODUCT( --( co_sectors[[#This Row],[sector_id]] = co_impactTypes[sector_id] ) )</f>
        <v>5</v>
      </c>
      <c r="N38" s="68" cm="1">
        <f t="array" ref="N38" xml:space="preserve"> IF( INDEX( co_impactYears[N/A], MATCH( 1, --( co_sectors[[#This Row],[sector_id]] = co_impactYears[sector_id] ), 0 ) ) = "N/A", 1, 2 )</f>
        <v>2</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630</v>
      </c>
    </row>
    <row r="39" spans="1:21" x14ac:dyDescent="0.2">
      <c r="B39" s="122">
        <f xml:space="preserve"> ROW( co_sectors[[#This Row],[row_id]] ) - ROW( co_sectors[[#Headers],[row_id]] )</f>
        <v>19</v>
      </c>
      <c r="C39" s="124" t="s">
        <v>225</v>
      </c>
      <c r="D39" s="54" t="s">
        <v>226</v>
      </c>
      <c r="E39" s="28">
        <v>1</v>
      </c>
      <c r="F39" s="30" t="s">
        <v>819</v>
      </c>
      <c r="G39" s="30">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8" cm="1">
        <f t="array" ref="L39" xml:space="preserve"> SUMPRODUCT( --( co_sectors[[#This Row],[sector_id]] = co_variants[sector_id] ) )</f>
        <v>1</v>
      </c>
      <c r="M39" s="68" cm="1">
        <f t="array" ref="M39" xml:space="preserve"> SUMPRODUCT( --( co_sectors[[#This Row],[sector_id]] = co_impactTypes[sector_id] ) )</f>
        <v>1</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63</v>
      </c>
    </row>
    <row r="40" spans="1:21" ht="22.5" x14ac:dyDescent="0.2">
      <c r="B40" s="120">
        <f xml:space="preserve"> ROW( co_sectors[[#This Row],[row_id]] ) - ROW( co_sectors[[#Headers],[row_id]] )</f>
        <v>20</v>
      </c>
      <c r="C40" s="121" t="s">
        <v>983</v>
      </c>
      <c r="D40" s="55" t="s">
        <v>984</v>
      </c>
      <c r="E40" s="29">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ht="22.5" x14ac:dyDescent="0.2">
      <c r="B41" s="122">
        <f xml:space="preserve"> ROW( co_sectors[[#This Row],[row_id]] ) - ROW( co_sectors[[#Headers],[row_id]] )</f>
        <v>21</v>
      </c>
      <c r="C41" s="124" t="s">
        <v>1306</v>
      </c>
      <c r="D41" s="54" t="s">
        <v>1306</v>
      </c>
      <c r="E41" s="28">
        <v>1</v>
      </c>
      <c r="F41" s="31" t="s">
        <v>819</v>
      </c>
      <c r="G41" s="31">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8" cm="1">
        <f t="array" ref="L41" xml:space="preserve"> SUMPRODUCT( --( co_sectors[[#This Row],[sector_id]] = co_variants[sector_id] ) )</f>
        <v>1</v>
      </c>
      <c r="M41" s="68" cm="1">
        <f t="array" ref="M41" xml:space="preserve"> SUMPRODUCT( --( co_sectors[[#This Row],[sector_id]] = co_impactTypes[sector_id] ) )</f>
        <v>3</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189</v>
      </c>
    </row>
    <row r="42" spans="1:21" x14ac:dyDescent="0.2">
      <c r="B42" s="120">
        <f xml:space="preserve"> ROW( co_sectors[[#This Row],[row_id]] ) - ROW( co_sectors[[#Headers],[row_id]] )</f>
        <v>22</v>
      </c>
      <c r="C42" s="121" t="s">
        <v>227</v>
      </c>
      <c r="D42" s="55" t="s">
        <v>228</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8" cm="1">
        <f t="array" ref="L42" xml:space="preserve"> SUMPRODUCT( --( co_sectors[[#This Row],[sector_id]] = co_variants[sector_id] ) )</f>
        <v>1</v>
      </c>
      <c r="M42" s="68" cm="1">
        <f t="array" ref="M42" xml:space="preserve"> SUMPRODUCT( --( co_sectors[[#This Row],[sector_id]] = co_impactTypes[sector_id] ) )</f>
        <v>1</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63</v>
      </c>
    </row>
    <row r="43" spans="1:21" ht="22.5" x14ac:dyDescent="0.2">
      <c r="B43" s="120">
        <f xml:space="preserve"> ROW( co_sectors[[#This Row],[row_id]] ) - ROW( co_sectors[[#Headers],[row_id]] )</f>
        <v>23</v>
      </c>
      <c r="C43" s="121" t="s">
        <v>761</v>
      </c>
      <c r="D43" s="55" t="s">
        <v>761</v>
      </c>
      <c r="E43" s="28">
        <v>1</v>
      </c>
      <c r="F43" s="30" t="s">
        <v>819</v>
      </c>
      <c r="G43" s="30">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8" cm="1">
        <f t="array" ref="L43" xml:space="preserve"> SUMPRODUCT( --( co_sectors[[#This Row],[sector_id]] = co_variants[sector_id] ) )</f>
        <v>1</v>
      </c>
      <c r="M43" s="68" cm="1">
        <f t="array" ref="M43" xml:space="preserve"> SUMPRODUCT( --( co_sectors[[#This Row],[sector_id]] = co_impactTypes[sector_id] ) )</f>
        <v>3</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189</v>
      </c>
    </row>
    <row r="44" spans="1:21" x14ac:dyDescent="0.2">
      <c r="B44" s="120">
        <f xml:space="preserve"> ROW( co_sectors[[#This Row],[row_id]] ) - ROW( co_sectors[[#Headers],[row_id]] )</f>
        <v>24</v>
      </c>
      <c r="C44" s="124" t="s">
        <v>1088</v>
      </c>
      <c r="D44" s="54" t="s">
        <v>1098</v>
      </c>
      <c r="E44" s="28">
        <v>1</v>
      </c>
      <c r="F44" s="31" t="s">
        <v>819</v>
      </c>
      <c r="G44" s="31">
        <v>0</v>
      </c>
      <c r="H44" s="52" cm="1">
        <f t="array" ref="H44" xml:space="preserve"> IF( AND( SUMPRODUCT( co_impactYears[2010], --( co_sectors[[#This Row],[sector_id]] = co_impactYears[sector_id] ) ) &gt; 1,  SUMPRODUCT( co_impactYears[2090], --( co_sectors[[#This Row],[sector_id]] = co_impactYears[sector_id] ) ) &gt; 1 ), 1, 0 )</f>
        <v>0</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N/A</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8" cm="1">
        <f t="array" ref="L44" xml:space="preserve"> SUMPRODUCT( --( co_sectors[[#This Row],[sector_id]] = co_variants[sector_id] ) )</f>
        <v>1</v>
      </c>
      <c r="M44" s="68" cm="1">
        <f t="array" ref="M44" xml:space="preserve"> SUMPRODUCT( --( co_sectors[[#This Row],[sector_id]] = co_impactTypes[sector_id] ) )</f>
        <v>1</v>
      </c>
      <c r="N44" s="68" cm="1">
        <f t="array" ref="N44" xml:space="preserve"> IF( INDEX( co_impactYears[N/A], MATCH( 1, --( co_sectors[[#This Row],[sector_id]] = co_impactYears[sector_id] ), 0 ) ) = "N/A", 1, 2 )</f>
        <v>1</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63</v>
      </c>
    </row>
    <row r="45" spans="1:21" ht="33.75" x14ac:dyDescent="0.2">
      <c r="B45" s="120">
        <f xml:space="preserve"> ROW( co_sectors[[#This Row],[row_id]] ) - ROW( co_sectors[[#Headers],[row_id]] )</f>
        <v>25</v>
      </c>
      <c r="C45" s="124" t="s">
        <v>89</v>
      </c>
      <c r="D45" s="54" t="s">
        <v>196</v>
      </c>
      <c r="E45" s="28">
        <v>1</v>
      </c>
      <c r="F45" s="30" t="s">
        <v>819</v>
      </c>
      <c r="G45" s="30">
        <v>0</v>
      </c>
      <c r="H45" s="52" cm="1">
        <f t="array" ref="H45" xml:space="preserve"> IF( AND( SUMPRODUCT( co_impactYears[2010], --( co_sectors[[#This Row],[sector_id]] = co_impactYears[sector_id] ) ) &gt; 1,  SUMPRODUCT( co_impactYears[2090], --( co_sectors[[#This Row],[sector_id]] = co_impactYears[sector_id] ) ) &gt; 1 ), 1, 0 )</f>
        <v>1</v>
      </c>
      <c r="I45" s="68"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8" t="str">
        <f ca="1" xml:space="preserve"> _xlfn.TEXTJOIN( ", ", 1,
  OFFSET( INDIRECT( ADDRESS( ROW( INDEX( co_impactYears[sector_id], MATCH( co_sectors[[#This Row],[sector_id]], co_impactYears[sector_id], 0 ) ) ),  COLUMN( co_impactYears[[#Headers],[sector_id]] ), , , "controlTables" ) ), 0, 1, 1, 4 )
)</f>
        <v>2010, 2090</v>
      </c>
      <c r="K45" s="68"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8" cm="1">
        <f t="array" ref="L45" xml:space="preserve"> SUMPRODUCT( --( co_sectors[[#This Row],[sector_id]] = co_variants[sector_id] ) )</f>
        <v>1</v>
      </c>
      <c r="M45" s="68" cm="1">
        <f t="array" ref="M45" xml:space="preserve"> SUMPRODUCT( --( co_sectors[[#This Row],[sector_id]] = co_impactTypes[sector_id] ) )</f>
        <v>3</v>
      </c>
      <c r="N45" s="68" cm="1">
        <f t="array" ref="N45" xml:space="preserve"> IF( INDEX( co_impactYears[N/A], MATCH( 1, --( co_sectors[[#This Row],[sector_id]] = co_impactYears[sector_id] ), 0 ) ) = "N/A", 1, 2 )</f>
        <v>2</v>
      </c>
      <c r="O45" s="68" cm="1">
        <f t="array" ref="O45" xml:space="preserve"> INDEX( co_modelTypes[Number of models], MATCH( 1, --( co_sectors[[#This Row],[modelType]] = co_modelTypes[modelType_id] ), 0 ) ) + IF( co_sectors[[#This Row],[modelType]] = "gcm", 1, 0 )</f>
        <v>9</v>
      </c>
      <c r="P45" s="68" cm="1">
        <f t="array" ref="P45" xml:space="preserve"> INDEX( co_modelTypes[Number of levels], MATCH( 1, --( co_sectors[[#This Row],[modelType]] = co_modelTypes[modelType_id] ), 0 ) )</f>
        <v>7</v>
      </c>
      <c r="Q45" s="68">
        <f xml:space="preserve"> PRODUCT( co_sectors[[#This Row],[Number of variants]:[Number of levels]] )</f>
        <v>378</v>
      </c>
    </row>
    <row r="47" spans="1:21" ht="15" x14ac:dyDescent="0.25">
      <c r="A47" s="47"/>
      <c r="B47" s="48" t="s">
        <v>1028</v>
      </c>
      <c r="C47" s="48"/>
      <c r="D47" s="48"/>
      <c r="E47" s="48"/>
      <c r="F47" s="48"/>
      <c r="G47" s="48"/>
      <c r="H47" s="48"/>
      <c r="I47" s="48"/>
      <c r="J47" s="48"/>
      <c r="K47" s="48"/>
      <c r="L47" s="48"/>
      <c r="M47" s="48"/>
      <c r="N47" s="48"/>
      <c r="O47" s="48"/>
      <c r="P47" s="48"/>
      <c r="Q47" s="48"/>
      <c r="R47" s="48"/>
      <c r="S47" s="48"/>
      <c r="T47" s="48"/>
      <c r="U47" s="48"/>
    </row>
    <row r="49" spans="2:6" x14ac:dyDescent="0.2">
      <c r="B49" s="60" t="s">
        <v>780</v>
      </c>
      <c r="C49" s="60" t="s">
        <v>219</v>
      </c>
      <c r="D49" s="62" t="s">
        <v>201</v>
      </c>
      <c r="E49" s="31" t="s">
        <v>902</v>
      </c>
      <c r="F49" s="62" t="s">
        <v>903</v>
      </c>
    </row>
    <row r="50" spans="2:6" x14ac:dyDescent="0.2">
      <c r="B50" s="7">
        <f xml:space="preserve"> ROW( co_impactYears[[#This Row],[row_id]] ) - ROW(co_impactYears[[#Headers],[row_id]] )</f>
        <v>1</v>
      </c>
      <c r="C50" s="14" t="s">
        <v>559</v>
      </c>
      <c r="D50" s="62" t="str" cm="1">
        <f t="array" ref="D50" xml:space="preserve"> IF( SUMPRODUCT( --( VALUE( controlTables!E$49 ) = data_scaledImpacts[impactYear] ), --( co_impactYears[[#This Row],[sector_id]] = data_scaledImpacts[sector] ) ) &gt; 0, "", controlTables!D$49  )</f>
        <v>N/A</v>
      </c>
      <c r="E50" s="31" t="str" cm="1">
        <f t="array" ref="E50" xml:space="preserve"> IF( SUMPRODUCT( --( VALUE( controlTables!E$49 ) = data_scaledImpacts[impactYear] ), --( co_impactYears[[#This Row],[sector_id]] = data_scaledImpacts[sector] ) ) &gt; 0, VALUE( controlTables!E$49 ), "" )</f>
        <v/>
      </c>
      <c r="F50" s="62" t="str" cm="1">
        <f t="array" ref="F50" xml:space="preserve"> IF( SUMPRODUCT( --( VALUE( controlTables!F$49 ) = data_scaledImpacts[impactYear] ), --( co_impactYears[[#This Row],[sector_id]] = data_scaledImpacts[sector] ) ) &gt; 0, VALUE( controlTables!F$49 ), "" )</f>
        <v/>
      </c>
    </row>
    <row r="51" spans="2:6" x14ac:dyDescent="0.2">
      <c r="B51" s="7">
        <f xml:space="preserve"> ROW( co_impactYears[[#This Row],[row_id]] ) - ROW(co_impactYears[[#Headers],[row_id]] )</f>
        <v>2</v>
      </c>
      <c r="C51" s="14" t="s">
        <v>1005</v>
      </c>
      <c r="D51" s="62" t="str" cm="1">
        <f t="array" ref="D51" xml:space="preserve"> IF( SUMPRODUCT( --( VALUE( controlTables!E$49 ) = data_scaledImpacts[impactYear] ), --( co_impactYears[[#This Row],[sector_id]] = data_scaledImpacts[sector] ) ) &gt; 0, "", controlTables!D$49  )</f>
        <v>N/A</v>
      </c>
      <c r="E51" s="31" t="str" cm="1">
        <f t="array" ref="E51" xml:space="preserve"> IF( SUMPRODUCT( --( VALUE( controlTables!E$49 ) = data_scaledImpacts[impactYear] ), --( co_impactYears[[#This Row],[sector_id]] = data_scaledImpacts[sector] ) ) &gt; 0, VALUE( controlTables!E$49 ), "" )</f>
        <v/>
      </c>
      <c r="F51" s="62" t="str" cm="1">
        <f t="array" ref="F51" xml:space="preserve"> IF( SUMPRODUCT( --( VALUE( controlTables!F$49 ) = data_scaledImpacts[impactYear] ), --( co_impactYears[[#This Row],[sector_id]] = data_scaledImpacts[sector] ) ) &gt; 0, VALUE( controlTables!F$49 ), "" )</f>
        <v/>
      </c>
    </row>
    <row r="52" spans="2:6" x14ac:dyDescent="0.2">
      <c r="B52" s="7">
        <f xml:space="preserve"> ROW( co_impactYears[[#This Row],[row_id]] ) - ROW(co_impactYears[[#Headers],[row_id]] )</f>
        <v>3</v>
      </c>
      <c r="C52" s="14" t="s">
        <v>1248</v>
      </c>
      <c r="D52" s="62" t="str" cm="1">
        <f t="array" ref="D52" xml:space="preserve"> IF( SUMPRODUCT( --( VALUE( controlTables!E$49 ) = data_scaledImpacts[impactYear] ), --( co_impactYears[[#This Row],[sector_id]] = data_scaledImpacts[sector] ) ) &gt; 0, "", controlTables!D$49  )</f>
        <v>N/A</v>
      </c>
      <c r="E52" s="31" t="str" cm="1">
        <f t="array" ref="E52" xml:space="preserve"> IF( SUMPRODUCT( --( VALUE( controlTables!E$49 ) = data_scaledImpacts[impactYear] ), --( co_impactYears[[#This Row],[sector_id]] = data_scaledImpacts[sector] ) ) &gt; 0, VALUE( controlTables!E$49 ), "" )</f>
        <v/>
      </c>
      <c r="F52" s="62" t="str" cm="1">
        <f t="array" ref="F52" xml:space="preserve"> IF( SUMPRODUCT( --( VALUE( controlTables!F$49 ) = data_scaledImpacts[impactYear] ), --( co_impactYears[[#This Row],[sector_id]] = data_scaledImpacts[sector] ) ) &gt; 0, VALUE( controlTables!F$49 ), "" )</f>
        <v/>
      </c>
    </row>
    <row r="53" spans="2:6" x14ac:dyDescent="0.2">
      <c r="B53" s="7">
        <f xml:space="preserve"> ROW( co_impactYears[[#This Row],[row_id]] ) - ROW(co_impactYears[[#Headers],[row_id]] )</f>
        <v>4</v>
      </c>
      <c r="C53" s="14" t="s">
        <v>1229</v>
      </c>
      <c r="D53" s="62" t="str" cm="1">
        <f t="array" ref="D53" xml:space="preserve"> IF( SUMPRODUCT( --( VALUE( controlTables!E$49 ) = data_scaledImpacts[impactYear] ), --( co_impactYears[[#This Row],[sector_id]] = data_scaledImpacts[sector] ) ) &gt; 0, "", controlTables!D$49  )</f>
        <v>N/A</v>
      </c>
      <c r="E53" s="31" t="str" cm="1">
        <f t="array" ref="E53" xml:space="preserve"> IF( SUMPRODUCT( --( VALUE( controlTables!E$49 ) = data_scaledImpacts[impactYear] ), --( co_impactYears[[#This Row],[sector_id]] = data_scaledImpacts[sector] ) ) &gt; 0, VALUE( controlTables!E$49 ), "" )</f>
        <v/>
      </c>
      <c r="F53" s="62" t="str" cm="1">
        <f t="array" ref="F53" xml:space="preserve"> IF( SUMPRODUCT( --( VALUE( controlTables!F$49 ) = data_scaledImpacts[impactYear] ), --( co_impactYears[[#This Row],[sector_id]] = data_scaledImpacts[sector] ) ) &gt; 0, VALUE( controlTables!F$49 ), "" )</f>
        <v/>
      </c>
    </row>
    <row r="54" spans="2:6" x14ac:dyDescent="0.2">
      <c r="B54" s="7">
        <f xml:space="preserve"> ROW( co_impactYears[[#This Row],[row_id]] ) - ROW(co_impactYears[[#Headers],[row_id]] )</f>
        <v>5</v>
      </c>
      <c r="C54" s="14" t="s">
        <v>1230</v>
      </c>
      <c r="D54" s="62" t="str" cm="1">
        <f t="array" ref="D54" xml:space="preserve"> IF( SUMPRODUCT( --( VALUE( controlTables!E$49 ) = data_scaledImpacts[impactYear] ), --( co_impactYears[[#This Row],[sector_id]] = data_scaledImpacts[sector] ) ) &gt; 0, "", controlTables!D$49  )</f>
        <v>N/A</v>
      </c>
      <c r="E54" s="31" t="str" cm="1">
        <f t="array" ref="E54" xml:space="preserve"> IF( SUMPRODUCT( --( VALUE( controlTables!E$49 ) = data_scaledImpacts[impactYear] ), --( co_impactYears[[#This Row],[sector_id]] = data_scaledImpacts[sector] ) ) &gt; 0, VALUE( controlTables!E$49 ), "" )</f>
        <v/>
      </c>
      <c r="F54" s="62" t="str" cm="1">
        <f t="array" ref="F54" xml:space="preserve"> IF( SUMPRODUCT( --( VALUE( controlTables!F$49 ) = data_scaledImpacts[impactYear] ), --( co_impactYears[[#This Row],[sector_id]] = data_scaledImpacts[sector] ) ) &gt; 0, VALUE( controlTables!F$49 ), "" )</f>
        <v/>
      </c>
    </row>
    <row r="55" spans="2:6" x14ac:dyDescent="0.2">
      <c r="B55" s="7">
        <f xml:space="preserve"> ROW( co_impactYears[[#This Row],[row_id]] ) - ROW(co_impactYears[[#Headers],[row_id]] )</f>
        <v>6</v>
      </c>
      <c r="C55" s="14" t="s">
        <v>1159</v>
      </c>
      <c r="D55" s="62" t="str" cm="1">
        <f t="array" ref="D55" xml:space="preserve"> IF( SUMPRODUCT( --( VALUE( controlTables!E$49 ) = data_scaledImpacts[impactYear] ), --( co_impactYears[[#This Row],[sector_id]] = data_scaledImpacts[sector] ) ) &gt; 0, "", controlTables!D$49  )</f>
        <v>N/A</v>
      </c>
      <c r="E55" s="31" t="str" cm="1">
        <f t="array" ref="E55" xml:space="preserve"> IF( SUMPRODUCT( --( VALUE( controlTables!E$49 ) = data_scaledImpacts[impactYear] ), --( co_impactYears[[#This Row],[sector_id]] = data_scaledImpacts[sector] ) ) &gt; 0, VALUE( controlTables!E$49 ), "" )</f>
        <v/>
      </c>
      <c r="F55" s="62" t="str" cm="1">
        <f t="array" ref="F55" xml:space="preserve"> IF( SUMPRODUCT( --( VALUE( controlTables!F$49 ) = data_scaledImpacts[impactYear] ), --( co_impactYears[[#This Row],[sector_id]] = data_scaledImpacts[sector] ) ) &gt; 0, VALUE( controlTables!F$49 ), "" )</f>
        <v/>
      </c>
    </row>
    <row r="56" spans="2:6" x14ac:dyDescent="0.2">
      <c r="B56" s="7">
        <f xml:space="preserve"> ROW( co_impactYears[[#This Row],[row_id]] ) - ROW(co_impactYears[[#Headers],[row_id]] )</f>
        <v>7</v>
      </c>
      <c r="C56" s="14" t="s">
        <v>86</v>
      </c>
      <c r="D56" s="62" t="str" cm="1">
        <f t="array" ref="D56" xml:space="preserve"> IF( SUMPRODUCT( --( VALUE( controlTables!E$49 ) = data_scaledImpacts[impactYear] ), --( co_impactYears[[#This Row],[sector_id]] = data_scaledImpacts[sector] ) ) &gt; 0, "", controlTables!D$49  )</f>
        <v>N/A</v>
      </c>
      <c r="E56" s="31" t="str" cm="1">
        <f t="array" ref="E56" xml:space="preserve"> IF( SUMPRODUCT( --( VALUE( controlTables!E$49 ) = data_scaledImpacts[impactYear] ), --( co_impactYears[[#This Row],[sector_id]] = data_scaledImpacts[sector] ) ) &gt; 0, VALUE( controlTables!E$49 ), "" )</f>
        <v/>
      </c>
      <c r="F56" s="62" t="str" cm="1">
        <f t="array" ref="F56" xml:space="preserve"> IF( SUMPRODUCT( --( VALUE( controlTables!F$49 ) = data_scaledImpacts[impactYear] ), --( co_impactYears[[#This Row],[sector_id]] = data_scaledImpacts[sector] ) ) &gt; 0, VALUE( controlTables!F$49 ), "" )</f>
        <v/>
      </c>
    </row>
    <row r="57" spans="2:6" x14ac:dyDescent="0.2">
      <c r="B57" s="7">
        <f xml:space="preserve"> ROW( co_impactYears[[#This Row],[row_id]] ) - ROW(co_impactYears[[#Headers],[row_id]] )</f>
        <v>8</v>
      </c>
      <c r="C57" s="14" t="s">
        <v>220</v>
      </c>
      <c r="D57" s="62" t="str" cm="1">
        <f t="array" ref="D57" xml:space="preserve"> IF( SUMPRODUCT( --( VALUE( controlTables!E$49 ) = data_scaledImpacts[impactYear] ), --( co_impactYears[[#This Row],[sector_id]] = data_scaledImpacts[sector] ) ) &gt; 0, "", controlTables!D$49  )</f>
        <v>N/A</v>
      </c>
      <c r="E57" s="31" t="str" cm="1">
        <f t="array" ref="E57" xml:space="preserve"> IF( SUMPRODUCT( --( VALUE( controlTables!E$49 ) = data_scaledImpacts[impactYear] ), --( co_impactYears[[#This Row],[sector_id]] = data_scaledImpacts[sector] ) ) &gt; 0, VALUE( controlTables!E$49 ), "" )</f>
        <v/>
      </c>
      <c r="F57" s="62" t="str" cm="1">
        <f t="array" ref="F57" xml:space="preserve"> IF( SUMPRODUCT( --( VALUE( controlTables!F$49 ) = data_scaledImpacts[impactYear] ), --( co_impactYears[[#This Row],[sector_id]] = data_scaledImpacts[sector] ) ) &gt; 0, VALUE( controlTables!F$49 ), "" )</f>
        <v/>
      </c>
    </row>
    <row r="58" spans="2:6" x14ac:dyDescent="0.2">
      <c r="B58" s="7">
        <f xml:space="preserve"> ROW( co_impactYears[[#This Row],[row_id]] ) - ROW(co_impactYears[[#Headers],[row_id]] )</f>
        <v>9</v>
      </c>
      <c r="C58" s="14" t="s">
        <v>1002</v>
      </c>
      <c r="D58" s="62" t="str" cm="1">
        <f t="array" ref="D58" xml:space="preserve"> IF( SUMPRODUCT( --( VALUE( controlTables!E$49 ) = data_scaledImpacts[impactYear] ), --( co_impactYears[[#This Row],[sector_id]] = data_scaledImpacts[sector] ) ) &gt; 0, "", controlTables!D$49  )</f>
        <v>N/A</v>
      </c>
      <c r="E58" s="31" t="str" cm="1">
        <f t="array" ref="E58" xml:space="preserve"> IF( SUMPRODUCT( --( VALUE( controlTables!E$49 ) = data_scaledImpacts[impactYear] ), --( co_impactYears[[#This Row],[sector_id]] = data_scaledImpacts[sector] ) ) &gt; 0, VALUE( controlTables!E$49 ), "" )</f>
        <v/>
      </c>
      <c r="F58" s="62" t="str" cm="1">
        <f t="array" ref="F58" xml:space="preserve"> IF( SUMPRODUCT( --( VALUE( controlTables!F$49 ) = data_scaledImpacts[impactYear] ), --( co_impactYears[[#This Row],[sector_id]] = data_scaledImpacts[sector] ) ) &gt; 0, VALUE( controlTables!F$49 ), "" )</f>
        <v/>
      </c>
    </row>
    <row r="59" spans="2:6" x14ac:dyDescent="0.2">
      <c r="B59" s="7">
        <f xml:space="preserve"> ROW( co_impactYears[[#This Row],[row_id]] ) - ROW(co_impactYears[[#Headers],[row_id]] )</f>
        <v>10</v>
      </c>
      <c r="C59" s="14" t="s">
        <v>17</v>
      </c>
      <c r="D59" s="62" t="str" cm="1">
        <f t="array" ref="D59" xml:space="preserve"> IF( SUMPRODUCT( --( VALUE( controlTables!E$49 ) = data_scaledImpacts[impactYear] ), --( co_impactYears[[#This Row],[sector_id]] = data_scaledImpacts[sector] ) ) &gt; 0, "", controlTables!D$49  )</f>
        <v/>
      </c>
      <c r="E59" s="31" cm="1">
        <f t="array" ref="E59" xml:space="preserve"> IF( SUMPRODUCT( --( VALUE( controlTables!E$49 ) = data_scaledImpacts[impactYear] ), --( co_impactYears[[#This Row],[sector_id]] = data_scaledImpacts[sector] ) ) &gt; 0, VALUE( controlTables!E$49 ), "" )</f>
        <v>2010</v>
      </c>
      <c r="F59" s="62" cm="1">
        <f t="array" ref="F59" xml:space="preserve"> IF( SUMPRODUCT( --( VALUE( controlTables!F$49 ) = data_scaledImpacts[impactYear] ), --( co_impactYears[[#This Row],[sector_id]] = data_scaledImpacts[sector] ) ) &gt; 0, VALUE( controlTables!F$49 ), "" )</f>
        <v>2090</v>
      </c>
    </row>
    <row r="60" spans="2:6" x14ac:dyDescent="0.2">
      <c r="B60" s="7">
        <f xml:space="preserve"> ROW( co_impactYears[[#This Row],[row_id]] ) - ROW(co_impactYears[[#Headers],[row_id]] )</f>
        <v>11</v>
      </c>
      <c r="C60" s="14" t="s">
        <v>221</v>
      </c>
      <c r="D60" s="62" t="str" cm="1">
        <f t="array" ref="D60" xml:space="preserve"> IF( SUMPRODUCT( --( VALUE( controlTables!E$49 ) = data_scaledImpacts[impactYear] ), --( co_impactYears[[#This Row],[sector_id]] = data_scaledImpacts[sector] ) ) &gt; 0, "", controlTables!D$49  )</f>
        <v>N/A</v>
      </c>
      <c r="E60" s="31" t="str" cm="1">
        <f t="array" ref="E60" xml:space="preserve"> IF( SUMPRODUCT( --( VALUE( controlTables!E$49 ) = data_scaledImpacts[impactYear] ), --( co_impactYears[[#This Row],[sector_id]] = data_scaledImpacts[sector] ) ) &gt; 0, VALUE( controlTables!E$49 ), "" )</f>
        <v/>
      </c>
      <c r="F60" s="62" t="str" cm="1">
        <f t="array" ref="F60" xml:space="preserve"> IF( SUMPRODUCT( --( VALUE( controlTables!F$49 ) = data_scaledImpacts[impactYear] ), --( co_impactYears[[#This Row],[sector_id]] = data_scaledImpacts[sector] ) ) &gt; 0, VALUE( controlTables!F$49 ), "" )</f>
        <v/>
      </c>
    </row>
    <row r="61" spans="2:6" x14ac:dyDescent="0.2">
      <c r="B61" s="7">
        <f xml:space="preserve"> ROW( co_impactYears[[#This Row],[row_id]] ) - ROW(co_impactYears[[#Headers],[row_id]] )</f>
        <v>12</v>
      </c>
      <c r="C61" s="14" t="s">
        <v>84</v>
      </c>
      <c r="D61" s="62" t="str" cm="1">
        <f t="array" ref="D61" xml:space="preserve"> IF( SUMPRODUCT( --( VALUE( controlTables!E$49 ) = data_scaledImpacts[impactYear] ), --( co_impactYears[[#This Row],[sector_id]] = data_scaledImpacts[sector] ) ) &gt; 0, "", controlTables!D$49  )</f>
        <v>N/A</v>
      </c>
      <c r="E61" s="31" t="str" cm="1">
        <f t="array" ref="E61" xml:space="preserve"> IF( SUMPRODUCT( --( VALUE( controlTables!E$49 ) = data_scaledImpacts[impactYear] ), --( co_impactYears[[#This Row],[sector_id]] = data_scaledImpacts[sector] ) ) &gt; 0, VALUE( controlTables!E$49 ), "" )</f>
        <v/>
      </c>
      <c r="F61" s="62" t="str" cm="1">
        <f t="array" ref="F61" xml:space="preserve"> IF( SUMPRODUCT( --( VALUE( controlTables!F$49 ) = data_scaledImpacts[impactYear] ), --( co_impactYears[[#This Row],[sector_id]] = data_scaledImpacts[sector] ) ) &gt; 0, VALUE( controlTables!F$49 ), "" )</f>
        <v/>
      </c>
    </row>
    <row r="62" spans="2:6" x14ac:dyDescent="0.2">
      <c r="B62" s="7">
        <f xml:space="preserve"> ROW( co_impactYears[[#This Row],[row_id]] ) - ROW(co_impactYears[[#Headers],[row_id]] )</f>
        <v>13</v>
      </c>
      <c r="C62" s="14" t="s">
        <v>34</v>
      </c>
      <c r="D62" s="62" t="str" cm="1">
        <f t="array" ref="D62" xml:space="preserve"> IF( SUMPRODUCT( --( VALUE( controlTables!E$49 ) = data_scaledImpacts[impactYear] ), --( co_impactYears[[#This Row],[sector_id]] = data_scaledImpacts[sector] ) ) &gt; 0, "", controlTables!D$49  )</f>
        <v>N/A</v>
      </c>
      <c r="E62" s="31" t="str" cm="1">
        <f t="array" ref="E62" xml:space="preserve"> IF( SUMPRODUCT( --( VALUE( controlTables!E$49 ) = data_scaledImpacts[impactYear] ), --( co_impactYears[[#This Row],[sector_id]] = data_scaledImpacts[sector] ) ) &gt; 0, VALUE( controlTables!E$49 ), "" )</f>
        <v/>
      </c>
      <c r="F62" s="62" t="str" cm="1">
        <f t="array" ref="F62" xml:space="preserve"> IF( SUMPRODUCT( --( VALUE( controlTables!F$49 ) = data_scaledImpacts[impactYear] ), --( co_impactYears[[#This Row],[sector_id]] = data_scaledImpacts[sector] ) ) &gt; 0, VALUE( controlTables!F$49 ), "" )</f>
        <v/>
      </c>
    </row>
    <row r="63" spans="2:6" x14ac:dyDescent="0.2">
      <c r="B63" s="7">
        <f xml:space="preserve"> ROW( co_impactYears[[#This Row],[row_id]] ) - ROW(co_impactYears[[#Headers],[row_id]] )</f>
        <v>14</v>
      </c>
      <c r="C63" s="14" t="s">
        <v>223</v>
      </c>
      <c r="D63" s="62" t="str" cm="1">
        <f t="array" ref="D63" xml:space="preserve"> IF( SUMPRODUCT( --( VALUE( controlTables!E$49 ) = data_scaledImpacts[impactYear] ), --( co_impactYears[[#This Row],[sector_id]] = data_scaledImpacts[sector] ) ) &gt; 0, "", controlTables!D$49  )</f>
        <v>N/A</v>
      </c>
      <c r="E63" s="31" t="str" cm="1">
        <f t="array" ref="E63" xml:space="preserve"> IF( SUMPRODUCT( --( VALUE( controlTables!E$49 ) = data_scaledImpacts[impactYear] ), --( co_impactYears[[#This Row],[sector_id]] = data_scaledImpacts[sector] ) ) &gt; 0, VALUE( controlTables!E$49 ), "" )</f>
        <v/>
      </c>
      <c r="F63" s="62" t="str" cm="1">
        <f t="array" ref="F63" xml:space="preserve"> IF( SUMPRODUCT( --( VALUE( controlTables!F$49 ) = data_scaledImpacts[impactYear] ), --( co_impactYears[[#This Row],[sector_id]] = data_scaledImpacts[sector] ) ) &gt; 0, VALUE( controlTables!F$49 ), "" )</f>
        <v/>
      </c>
    </row>
    <row r="64" spans="2:6" x14ac:dyDescent="0.2">
      <c r="B64" s="7">
        <f xml:space="preserve"> ROW( co_impactYears[[#This Row],[row_id]] ) - ROW(co_impactYears[[#Headers],[row_id]] )</f>
        <v>15</v>
      </c>
      <c r="C64" s="14" t="s">
        <v>1312</v>
      </c>
      <c r="D64" s="62" t="str" cm="1">
        <f t="array" ref="D64" xml:space="preserve"> IF( SUMPRODUCT( --( VALUE( controlTables!E$49 ) = data_scaledImpacts[impactYear] ), --( co_impactYears[[#This Row],[sector_id]] = data_scaledImpacts[sector] ) ) &gt; 0, "", controlTables!D$49  )</f>
        <v>N/A</v>
      </c>
      <c r="E64" s="31" t="str" cm="1">
        <f t="array" ref="E64" xml:space="preserve"> IF( SUMPRODUCT( --( VALUE( controlTables!E$49 ) = data_scaledImpacts[impactYear] ), --( co_impactYears[[#This Row],[sector_id]] = data_scaledImpacts[sector] ) ) &gt; 0, VALUE( controlTables!E$49 ), "" )</f>
        <v/>
      </c>
      <c r="F64" s="62" t="str" cm="1">
        <f t="array" ref="F64" xml:space="preserve"> IF( SUMPRODUCT( --( VALUE( controlTables!F$49 ) = data_scaledImpacts[impactYear] ), --( co_impactYears[[#This Row],[sector_id]] = data_scaledImpacts[sector] ) ) &gt; 0, VALUE( controlTables!F$49 ), "" )</f>
        <v/>
      </c>
    </row>
    <row r="65" spans="1:21" x14ac:dyDescent="0.2">
      <c r="B65" s="7">
        <f xml:space="preserve"> ROW( co_impactYears[[#This Row],[row_id]] ) - ROW(co_impactYears[[#Headers],[row_id]] )</f>
        <v>16</v>
      </c>
      <c r="C65" s="14" t="s">
        <v>209</v>
      </c>
      <c r="D65" s="62" t="str" cm="1">
        <f t="array" ref="D65" xml:space="preserve"> IF( SUMPRODUCT( --( VALUE( controlTables!E$49 ) = data_scaledImpacts[impactYear] ), --( co_impactYears[[#This Row],[sector_id]] = data_scaledImpacts[sector] ) ) &gt; 0, "", controlTables!D$49  )</f>
        <v>N/A</v>
      </c>
      <c r="E65" s="31" t="str" cm="1">
        <f t="array" ref="E65" xml:space="preserve"> IF( SUMPRODUCT( --( VALUE( controlTables!E$49 ) = data_scaledImpacts[impactYear] ), --( co_impactYears[[#This Row],[sector_id]] = data_scaledImpacts[sector] ) ) &gt; 0, VALUE( controlTables!E$49 ), "" )</f>
        <v/>
      </c>
      <c r="F65" s="62" t="str" cm="1">
        <f t="array" ref="F65" xml:space="preserve"> IF( SUMPRODUCT( --( VALUE( controlTables!F$49 ) = data_scaledImpacts[impactYear] ), --( co_impactYears[[#This Row],[sector_id]] = data_scaledImpacts[sector] ) ) &gt; 0, VALUE( controlTables!F$49 ), "" )</f>
        <v/>
      </c>
    </row>
    <row r="66" spans="1:21" x14ac:dyDescent="0.2">
      <c r="B66" s="7">
        <f xml:space="preserve"> ROW( co_impactYears[[#This Row],[row_id]] ) - ROW(co_impactYears[[#Headers],[row_id]] )</f>
        <v>17</v>
      </c>
      <c r="C66" s="14" t="s">
        <v>216</v>
      </c>
      <c r="D66" s="62" t="str" cm="1">
        <f t="array" ref="D66" xml:space="preserve"> IF( SUMPRODUCT( --( VALUE( controlTables!E$49 ) = data_scaledImpacts[impactYear] ), --( co_impactYears[[#This Row],[sector_id]] = data_scaledImpacts[sector] ) ) &gt; 0, "", controlTables!D$49  )</f>
        <v>N/A</v>
      </c>
      <c r="E66" s="31" t="str" cm="1">
        <f t="array" ref="E66" xml:space="preserve"> IF( SUMPRODUCT( --( VALUE( controlTables!E$49 ) = data_scaledImpacts[impactYear] ), --( co_impactYears[[#This Row],[sector_id]] = data_scaledImpacts[sector] ) ) &gt; 0, VALUE( controlTables!E$49 ), "" )</f>
        <v/>
      </c>
      <c r="F66" s="62" t="str" cm="1">
        <f t="array" ref="F66" xml:space="preserve"> IF( SUMPRODUCT( --( VALUE( controlTables!F$49 ) = data_scaledImpacts[impactYear] ), --( co_impactYears[[#This Row],[sector_id]] = data_scaledImpacts[sector] ) ) &gt; 0, VALUE( controlTables!F$49 ), "" )</f>
        <v/>
      </c>
    </row>
    <row r="67" spans="1:21" x14ac:dyDescent="0.2">
      <c r="B67" s="7">
        <f xml:space="preserve"> ROW( co_impactYears[[#This Row],[row_id]] ) - ROW(co_impactYears[[#Headers],[row_id]] )</f>
        <v>18</v>
      </c>
      <c r="C67" s="14" t="s">
        <v>85</v>
      </c>
      <c r="D67" s="62" t="str" cm="1">
        <f t="array" ref="D67" xml:space="preserve"> IF( SUMPRODUCT( --( VALUE( controlTables!E$49 ) = data_scaledImpacts[impactYear] ), --( co_impactYears[[#This Row],[sector_id]] = data_scaledImpacts[sector] ) ) &gt; 0, "", controlTables!D$49  )</f>
        <v/>
      </c>
      <c r="E67" s="31" cm="1">
        <f t="array" ref="E67" xml:space="preserve"> IF( SUMPRODUCT( --( VALUE( controlTables!E$49 ) = data_scaledImpacts[impactYear] ), --( co_impactYears[[#This Row],[sector_id]] = data_scaledImpacts[sector] ) ) &gt; 0, VALUE( controlTables!E$49 ), "" )</f>
        <v>2010</v>
      </c>
      <c r="F67" s="62" cm="1">
        <f t="array" ref="F67" xml:space="preserve"> IF( SUMPRODUCT( --( VALUE( controlTables!F$49 ) = data_scaledImpacts[impactYear] ), --( co_impactYears[[#This Row],[sector_id]] = data_scaledImpacts[sector] ) ) &gt; 0, VALUE( controlTables!F$49 ), "" )</f>
        <v>2090</v>
      </c>
    </row>
    <row r="68" spans="1:21" x14ac:dyDescent="0.2">
      <c r="B68" s="7">
        <f xml:space="preserve"> ROW( co_impactYears[[#This Row],[row_id]] ) - ROW(co_impactYears[[#Headers],[row_id]] )</f>
        <v>19</v>
      </c>
      <c r="C68" s="14" t="s">
        <v>225</v>
      </c>
      <c r="D68" s="62" t="str" cm="1">
        <f t="array" ref="D68" xml:space="preserve"> IF( SUMPRODUCT( --( VALUE( controlTables!E$49 ) = data_scaledImpacts[impactYear] ), --( co_impactYears[[#This Row],[sector_id]] = data_scaledImpacts[sector] ) ) &gt; 0, "", controlTables!D$49  )</f>
        <v>N/A</v>
      </c>
      <c r="E68" s="31" t="str" cm="1">
        <f t="array" ref="E68" xml:space="preserve"> IF( SUMPRODUCT( --( VALUE( controlTables!E$49 ) = data_scaledImpacts[impactYear] ), --( co_impactYears[[#This Row],[sector_id]] = data_scaledImpacts[sector] ) ) &gt; 0, VALUE( controlTables!E$49 ), "" )</f>
        <v/>
      </c>
      <c r="F68" s="62" t="str" cm="1">
        <f t="array" ref="F68" xml:space="preserve"> IF( SUMPRODUCT( --( VALUE( controlTables!F$49 ) = data_scaledImpacts[impactYear] ), --( co_impactYears[[#This Row],[sector_id]] = data_scaledImpacts[sector] ) ) &gt; 0, VALUE( controlTables!F$49 ), "" )</f>
        <v/>
      </c>
    </row>
    <row r="69" spans="1:21" x14ac:dyDescent="0.2">
      <c r="B69" s="7">
        <f xml:space="preserve"> ROW( co_impactYears[[#This Row],[row_id]] ) - ROW(co_impactYears[[#Headers],[row_id]] )</f>
        <v>20</v>
      </c>
      <c r="C69" s="14" t="s">
        <v>983</v>
      </c>
      <c r="D69" s="62" t="str" cm="1">
        <f t="array" ref="D69" xml:space="preserve"> IF( SUMPRODUCT( --( VALUE( controlTables!E$49 ) = data_scaledImpacts[impactYear] ), --( co_impactYears[[#This Row],[sector_id]] = data_scaledImpacts[sector] ) ) &gt; 0, "", controlTables!D$49  )</f>
        <v>N/A</v>
      </c>
      <c r="E69" s="31" t="str" cm="1">
        <f t="array" ref="E69" xml:space="preserve"> IF( SUMPRODUCT( --( VALUE( controlTables!E$49 ) = data_scaledImpacts[impactYear] ), --( co_impactYears[[#This Row],[sector_id]] = data_scaledImpacts[sector] ) ) &gt; 0, VALUE( controlTables!E$49 ), "" )</f>
        <v/>
      </c>
      <c r="F69" s="62" t="str" cm="1">
        <f t="array" ref="F69" xml:space="preserve"> IF( SUMPRODUCT( --( VALUE( controlTables!F$49 ) = data_scaledImpacts[impactYear] ), --( co_impactYears[[#This Row],[sector_id]] = data_scaledImpacts[sector] ) ) &gt; 0, VALUE( controlTables!F$49 ), "" )</f>
        <v/>
      </c>
    </row>
    <row r="70" spans="1:21" x14ac:dyDescent="0.2">
      <c r="B70" s="7">
        <f xml:space="preserve"> ROW( co_impactYears[[#This Row],[row_id]] ) - ROW(co_impactYears[[#Headers],[row_id]] )</f>
        <v>21</v>
      </c>
      <c r="C70" s="14" t="s">
        <v>1306</v>
      </c>
      <c r="D70" s="62" t="str" cm="1">
        <f t="array" ref="D70" xml:space="preserve"> IF( SUMPRODUCT( --( VALUE( controlTables!E$49 ) = data_scaledImpacts[impactYear] ), --( co_impactYears[[#This Row],[sector_id]] = data_scaledImpacts[sector] ) ) &gt; 0, "", controlTables!D$49  )</f>
        <v>N/A</v>
      </c>
      <c r="E70" s="31" t="str" cm="1">
        <f t="array" ref="E70" xml:space="preserve"> IF( SUMPRODUCT( --( VALUE( controlTables!E$49 ) = data_scaledImpacts[impactYear] ), --( co_impactYears[[#This Row],[sector_id]] = data_scaledImpacts[sector] ) ) &gt; 0, VALUE( controlTables!E$49 ), "" )</f>
        <v/>
      </c>
      <c r="F70" s="62" t="str" cm="1">
        <f t="array" ref="F70" xml:space="preserve"> IF( SUMPRODUCT( --( VALUE( controlTables!F$49 ) = data_scaledImpacts[impactYear] ), --( co_impactYears[[#This Row],[sector_id]] = data_scaledImpacts[sector] ) ) &gt; 0, VALUE( controlTables!F$49 ), "" )</f>
        <v/>
      </c>
    </row>
    <row r="71" spans="1:21" x14ac:dyDescent="0.2">
      <c r="B71" s="7">
        <f xml:space="preserve"> ROW( co_impactYears[[#This Row],[row_id]] ) - ROW(co_impactYears[[#Headers],[row_id]] )</f>
        <v>22</v>
      </c>
      <c r="C71" s="14" t="s">
        <v>227</v>
      </c>
      <c r="D71" s="62" t="str" cm="1">
        <f t="array" ref="D71" xml:space="preserve"> IF( SUMPRODUCT( --( VALUE( controlTables!E$49 ) = data_scaledImpacts[impactYear] ), --( co_impactYears[[#This Row],[sector_id]] = data_scaledImpacts[sector] ) ) &gt; 0, "", controlTables!D$49  )</f>
        <v>N/A</v>
      </c>
      <c r="E71" s="31" t="str" cm="1">
        <f t="array" ref="E71" xml:space="preserve"> IF( SUMPRODUCT( --( VALUE( controlTables!E$49 ) = data_scaledImpacts[impactYear] ), --( co_impactYears[[#This Row],[sector_id]] = data_scaledImpacts[sector] ) ) &gt; 0, VALUE( controlTables!E$49 ), "" )</f>
        <v/>
      </c>
      <c r="F71" s="62" t="str" cm="1">
        <f t="array" ref="F71" xml:space="preserve"> IF( SUMPRODUCT( --( VALUE( controlTables!F$49 ) = data_scaledImpacts[impactYear] ), --( co_impactYears[[#This Row],[sector_id]] = data_scaledImpacts[sector] ) ) &gt; 0, VALUE( controlTables!F$49 ), "" )</f>
        <v/>
      </c>
    </row>
    <row r="72" spans="1:21" x14ac:dyDescent="0.2">
      <c r="B72" s="7">
        <f xml:space="preserve"> ROW( co_impactYears[[#This Row],[row_id]] ) - ROW(co_impactYears[[#Headers],[row_id]] )</f>
        <v>23</v>
      </c>
      <c r="C72" s="14" t="s">
        <v>761</v>
      </c>
      <c r="D72" s="62" t="str" cm="1">
        <f t="array" ref="D72" xml:space="preserve"> IF( SUMPRODUCT( --( VALUE( controlTables!E$49 ) = data_scaledImpacts[impactYear] ), --( co_impactYears[[#This Row],[sector_id]] = data_scaledImpacts[sector] ) ) &gt; 0, "", controlTables!D$49  )</f>
        <v>N/A</v>
      </c>
      <c r="E72" s="31" t="str" cm="1">
        <f t="array" ref="E72" xml:space="preserve"> IF( SUMPRODUCT( --( VALUE( controlTables!E$49 ) = data_scaledImpacts[impactYear] ), --( co_impactYears[[#This Row],[sector_id]] = data_scaledImpacts[sector] ) ) &gt; 0, VALUE( controlTables!E$49 ), "" )</f>
        <v/>
      </c>
      <c r="F72" s="62" t="str" cm="1">
        <f t="array" ref="F72" xml:space="preserve"> IF( SUMPRODUCT( --( VALUE( controlTables!F$49 ) = data_scaledImpacts[impactYear] ), --( co_impactYears[[#This Row],[sector_id]] = data_scaledImpacts[sector] ) ) &gt; 0, VALUE( controlTables!F$49 ), "" )</f>
        <v/>
      </c>
    </row>
    <row r="73" spans="1:21" x14ac:dyDescent="0.2">
      <c r="B73" s="7">
        <f xml:space="preserve"> ROW( co_impactYears[[#This Row],[row_id]] ) - ROW(co_impactYears[[#Headers],[row_id]] )</f>
        <v>24</v>
      </c>
      <c r="C73" s="14" t="s">
        <v>1088</v>
      </c>
      <c r="D73" s="62" t="str" cm="1">
        <f t="array" ref="D73" xml:space="preserve"> IF( SUMPRODUCT( --( VALUE( controlTables!E$49 ) = data_scaledImpacts[impactYear] ), --( co_impactYears[[#This Row],[sector_id]] = data_scaledImpacts[sector] ) ) &gt; 0, "", controlTables!D$49  )</f>
        <v>N/A</v>
      </c>
      <c r="E73" s="31" t="str" cm="1">
        <f t="array" ref="E73" xml:space="preserve"> IF( SUMPRODUCT( --( VALUE( controlTables!E$49 ) = data_scaledImpacts[impactYear] ), --( co_impactYears[[#This Row],[sector_id]] = data_scaledImpacts[sector] ) ) &gt; 0, VALUE( controlTables!E$49 ), "" )</f>
        <v/>
      </c>
      <c r="F73" s="62" t="str" cm="1">
        <f t="array" ref="F73" xml:space="preserve"> IF( SUMPRODUCT( --( VALUE( controlTables!F$49 ) = data_scaledImpacts[impactYear] ), --( co_impactYears[[#This Row],[sector_id]] = data_scaledImpacts[sector] ) ) &gt; 0, VALUE( controlTables!F$49 ), "" )</f>
        <v/>
      </c>
    </row>
    <row r="74" spans="1:21" x14ac:dyDescent="0.2">
      <c r="B74" s="7">
        <f xml:space="preserve"> ROW( co_impactYears[[#This Row],[row_id]] ) - ROW(co_impactYears[[#Headers],[row_id]] )</f>
        <v>25</v>
      </c>
      <c r="C74" s="14" t="s">
        <v>89</v>
      </c>
      <c r="D74" s="62" t="str" cm="1">
        <f t="array" ref="D74" xml:space="preserve"> IF( SUMPRODUCT( --( VALUE( controlTables!E$49 ) = data_scaledImpacts[impactYear] ), --( co_impactYears[[#This Row],[sector_id]] = data_scaledImpacts[sector] ) ) &gt; 0, "", controlTables!D$49  )</f>
        <v/>
      </c>
      <c r="E74" s="31" cm="1">
        <f t="array" ref="E74" xml:space="preserve"> IF( SUMPRODUCT( --( VALUE( controlTables!E$49 ) = data_scaledImpacts[impactYear] ), --( co_impactYears[[#This Row],[sector_id]] = data_scaledImpacts[sector] ) ) &gt; 0, VALUE( controlTables!E$49 ), "" )</f>
        <v>2010</v>
      </c>
      <c r="F74" s="62" cm="1">
        <f t="array" ref="F74" xml:space="preserve"> IF( SUMPRODUCT( --( VALUE( controlTables!F$49 ) = data_scaledImpacts[impactYear] ), --( co_impactYears[[#This Row],[sector_id]] = data_scaledImpacts[sector] ) ) &gt; 0, VALUE( controlTables!F$49 ), "" )</f>
        <v>2090</v>
      </c>
    </row>
    <row r="76" spans="1:21" ht="15" x14ac:dyDescent="0.25">
      <c r="A76" s="47"/>
      <c r="B76" s="48" t="s">
        <v>1238</v>
      </c>
      <c r="C76" s="48"/>
      <c r="D76" s="48"/>
      <c r="E76" s="48"/>
      <c r="F76" s="48"/>
      <c r="G76" s="48"/>
      <c r="H76" s="48"/>
      <c r="I76" s="48"/>
      <c r="J76" s="48"/>
      <c r="K76" s="48"/>
      <c r="L76" s="48"/>
      <c r="M76" s="48"/>
      <c r="N76" s="48"/>
      <c r="O76" s="48"/>
      <c r="P76" s="48"/>
      <c r="Q76" s="48"/>
      <c r="R76" s="48"/>
      <c r="S76" s="48"/>
      <c r="T76" s="48"/>
      <c r="U76" s="48"/>
    </row>
    <row r="77" spans="1:21" x14ac:dyDescent="0.2">
      <c r="B77" s="5" t="s">
        <v>1239</v>
      </c>
      <c r="C77" s="5"/>
      <c r="D77" s="5"/>
      <c r="E77" s="22"/>
      <c r="F77" s="5"/>
      <c r="G77" s="5"/>
      <c r="H77" s="5"/>
      <c r="I77" s="5"/>
      <c r="J77" s="5"/>
      <c r="K77" s="5"/>
    </row>
    <row r="78" spans="1:21" x14ac:dyDescent="0.2">
      <c r="B78" s="5" t="s">
        <v>1240</v>
      </c>
      <c r="C78" s="5"/>
      <c r="D78" s="5"/>
      <c r="E78" s="22"/>
      <c r="F78" s="5"/>
      <c r="G78" s="5"/>
      <c r="H78" s="5"/>
      <c r="I78" s="5"/>
      <c r="J78" s="5"/>
      <c r="K78" s="5"/>
    </row>
    <row r="79" spans="1:21" x14ac:dyDescent="0.2">
      <c r="B79" s="5" t="s">
        <v>1241</v>
      </c>
      <c r="C79" s="5"/>
      <c r="D79" s="5"/>
      <c r="E79" s="22"/>
      <c r="F79" s="5"/>
      <c r="G79" s="5"/>
      <c r="H79" s="5"/>
      <c r="I79" s="5"/>
      <c r="J79" s="5"/>
      <c r="K79" s="5"/>
    </row>
    <row r="80" spans="1:21" ht="15" x14ac:dyDescent="0.25">
      <c r="B80" s="78" t="s">
        <v>780</v>
      </c>
      <c r="C80" s="78" t="s">
        <v>219</v>
      </c>
      <c r="D80" s="78" t="s">
        <v>1242</v>
      </c>
      <c r="E80" s="78" t="s">
        <v>1243</v>
      </c>
      <c r="F80" s="81" t="s">
        <v>1244</v>
      </c>
      <c r="G80" s="62" t="s">
        <v>1017</v>
      </c>
      <c r="H80" s="62" t="s">
        <v>1018</v>
      </c>
      <c r="I80" s="60" t="s">
        <v>796</v>
      </c>
      <c r="J80" s="62" t="s">
        <v>919</v>
      </c>
      <c r="K80" s="60" t="s">
        <v>1262</v>
      </c>
      <c r="L80" s="8"/>
      <c r="M80" s="8"/>
      <c r="N80" s="8"/>
      <c r="O80" s="8"/>
      <c r="P80" s="8"/>
      <c r="Q80" s="8"/>
    </row>
    <row r="81" spans="2:15" ht="15" x14ac:dyDescent="0.25">
      <c r="B81" s="7">
        <f xml:space="preserve"> ROW( co_variants[[#This Row],[row_id]] ) - ROW( co_variants[[#Headers],[row_id]] )</f>
        <v>1</v>
      </c>
      <c r="C81" s="14" t="s">
        <v>559</v>
      </c>
      <c r="D81" s="57" t="s">
        <v>773</v>
      </c>
      <c r="E81" s="83">
        <v>2011</v>
      </c>
      <c r="F81" s="83">
        <v>2011</v>
      </c>
      <c r="G81" s="58">
        <v>1</v>
      </c>
      <c r="H81" s="58">
        <v>1</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5" x14ac:dyDescent="0.25">
      <c r="B82" s="7">
        <f xml:space="preserve"> ROW( co_variants[[#This Row],[row_id]] ) - ROW( co_variants[[#Headers],[row_id]] )</f>
        <v>2</v>
      </c>
      <c r="C82" s="14" t="s">
        <v>559</v>
      </c>
      <c r="D82" s="57" t="s">
        <v>945</v>
      </c>
      <c r="E82" s="83">
        <v>2040</v>
      </c>
      <c r="F82" s="83">
        <v>2040</v>
      </c>
      <c r="G82" s="58">
        <v>0</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1</v>
      </c>
      <c r="L82"/>
      <c r="M82"/>
      <c r="N82"/>
      <c r="O82"/>
    </row>
    <row r="83" spans="2:15" ht="15" x14ac:dyDescent="0.25">
      <c r="B83" s="7">
        <f xml:space="preserve"> ROW( co_variants[[#This Row],[row_id]] ) - ROW( co_variants[[#Headers],[row_id]] )</f>
        <v>3</v>
      </c>
      <c r="C83" s="14" t="s">
        <v>1005</v>
      </c>
      <c r="D83" s="57" t="s">
        <v>201</v>
      </c>
      <c r="E83" s="83" t="s">
        <v>927</v>
      </c>
      <c r="F83" s="83" t="s">
        <v>201</v>
      </c>
      <c r="G83" s="58">
        <v>1</v>
      </c>
      <c r="H83" s="58">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4</v>
      </c>
      <c r="C84" s="14" t="s">
        <v>1248</v>
      </c>
      <c r="D84" s="57" t="s">
        <v>1259</v>
      </c>
      <c r="E84" s="83" t="s">
        <v>1249</v>
      </c>
      <c r="F84" s="112" t="s">
        <v>1249</v>
      </c>
      <c r="G84" s="97">
        <v>1</v>
      </c>
      <c r="H84" s="97">
        <v>1</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5</v>
      </c>
      <c r="C85" s="14" t="s">
        <v>1248</v>
      </c>
      <c r="D85" s="57" t="s">
        <v>1260</v>
      </c>
      <c r="E85" s="83" t="s">
        <v>1267</v>
      </c>
      <c r="F85" s="112" t="s">
        <v>1257</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5" x14ac:dyDescent="0.25">
      <c r="B86" s="7">
        <f xml:space="preserve"> ROW( co_variants[[#This Row],[row_id]] ) - ROW( co_variants[[#Headers],[row_id]] )</f>
        <v>6</v>
      </c>
      <c r="C86" s="14" t="s">
        <v>1248</v>
      </c>
      <c r="D86" s="57" t="s">
        <v>1261</v>
      </c>
      <c r="E86" s="83" t="s">
        <v>1268</v>
      </c>
      <c r="F86" s="112" t="s">
        <v>1258</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5" x14ac:dyDescent="0.25">
      <c r="B87" s="7">
        <f xml:space="preserve"> ROW( co_variants[[#This Row],[row_id]] ) - ROW( co_variants[[#Headers],[row_id]] )</f>
        <v>7</v>
      </c>
      <c r="C87" s="14" t="s">
        <v>1229</v>
      </c>
      <c r="D87" s="83" t="s">
        <v>1165</v>
      </c>
      <c r="E87" s="83" t="s">
        <v>1220</v>
      </c>
      <c r="F87" s="83" t="s">
        <v>1165</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8</v>
      </c>
      <c r="C88" s="14" t="s">
        <v>1229</v>
      </c>
      <c r="D88" s="83" t="s">
        <v>1164</v>
      </c>
      <c r="E88" s="83" t="s">
        <v>1221</v>
      </c>
      <c r="F88" s="83" t="s">
        <v>1164</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5" x14ac:dyDescent="0.25">
      <c r="B89" s="7">
        <f xml:space="preserve"> ROW( co_variants[[#This Row],[row_id]] ) - ROW( co_variants[[#Headers],[row_id]] )</f>
        <v>9</v>
      </c>
      <c r="C89" s="14" t="s">
        <v>1230</v>
      </c>
      <c r="D89" s="57" t="s">
        <v>201</v>
      </c>
      <c r="E89" s="83" t="s">
        <v>927</v>
      </c>
      <c r="F89" s="112" t="s">
        <v>201</v>
      </c>
      <c r="G89" s="97">
        <v>1</v>
      </c>
      <c r="H89" s="97">
        <v>1</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1</v>
      </c>
      <c r="L89"/>
      <c r="M89"/>
      <c r="N89"/>
      <c r="O89"/>
    </row>
    <row r="90" spans="2:15" ht="15" x14ac:dyDescent="0.25">
      <c r="B90" s="7">
        <f xml:space="preserve"> ROW( co_variants[[#This Row],[row_id]] ) - ROW( co_variants[[#Headers],[row_id]] )</f>
        <v>10</v>
      </c>
      <c r="C90" s="14" t="s">
        <v>1159</v>
      </c>
      <c r="D90" s="57" t="s">
        <v>1265</v>
      </c>
      <c r="E90" s="83" t="s">
        <v>1264</v>
      </c>
      <c r="F90" s="83" t="s">
        <v>1264</v>
      </c>
      <c r="G90" s="97">
        <v>1</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11</v>
      </c>
      <c r="C91" s="14" t="s">
        <v>1159</v>
      </c>
      <c r="D91" s="57" t="s">
        <v>1260</v>
      </c>
      <c r="E91" s="83" t="s">
        <v>1267</v>
      </c>
      <c r="F91" s="83" t="s">
        <v>1257</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12</v>
      </c>
      <c r="C92" s="14" t="s">
        <v>1159</v>
      </c>
      <c r="D92" s="57" t="s">
        <v>1261</v>
      </c>
      <c r="E92" s="83" t="s">
        <v>1268</v>
      </c>
      <c r="F92" s="83" t="s">
        <v>1258</v>
      </c>
      <c r="G92" s="97">
        <v>0</v>
      </c>
      <c r="H92" s="97">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13</v>
      </c>
      <c r="C93" s="14" t="s">
        <v>86</v>
      </c>
      <c r="D93" s="57" t="s">
        <v>1319</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14</v>
      </c>
      <c r="C94" s="14" t="s">
        <v>86</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15</v>
      </c>
      <c r="C95" s="14" t="s">
        <v>86</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none</v>
      </c>
      <c r="J95" s="65" cm="1">
        <f t="array" ref="J95" xml:space="preserve"> --( SUMPRODUCT( --( co_variants[[#This Row],[sector_id]] = data_scaledImpacts[sector] ), --( co_variants[[#This Row],[variant_id_excel]] = data_scaledImpacts[variant] ) ) &gt; 1 )</f>
        <v>0</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16</v>
      </c>
      <c r="C96" s="14" t="s">
        <v>220</v>
      </c>
      <c r="D96" s="57" t="s">
        <v>201</v>
      </c>
      <c r="E96" s="83" t="s">
        <v>927</v>
      </c>
      <c r="F96" s="112" t="s">
        <v>201</v>
      </c>
      <c r="G96" s="58">
        <v>1</v>
      </c>
      <c r="H96" s="58">
        <v>1</v>
      </c>
      <c r="I96" s="82" t="str">
        <f xml:space="preserve"> INDEX( co_impactTypes[damageAdjName], MATCH( co_variants[[#This Row],[sector_id]], co_impactTypes[sector_id], 0 ) ) &amp;
   IF( co_variants[[#This Row],[sector_id]] = "Roads", IF( co_variants[[#This Row],[variant_id_excel]] = "Proactive", "_proactive", "_other" ), "" )</f>
        <v>elecSD_refCosts</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17</v>
      </c>
      <c r="C97" s="14" t="s">
        <v>1002</v>
      </c>
      <c r="D97" s="57" t="s">
        <v>1319</v>
      </c>
      <c r="E97" s="83" t="s">
        <v>87</v>
      </c>
      <c r="F97" s="112" t="s">
        <v>87</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18</v>
      </c>
      <c r="C98" s="14" t="s">
        <v>1002</v>
      </c>
      <c r="D98" s="57" t="s">
        <v>777</v>
      </c>
      <c r="E98" s="112" t="s">
        <v>208</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5" x14ac:dyDescent="0.25">
      <c r="B99" s="7">
        <f xml:space="preserve"> ROW( co_variants[[#This Row],[row_id]] ) - ROW( co_variants[[#Headers],[row_id]] )</f>
        <v>19</v>
      </c>
      <c r="C99" s="14" t="s">
        <v>1002</v>
      </c>
      <c r="D99" s="57" t="s">
        <v>778</v>
      </c>
      <c r="E99" s="112" t="s">
        <v>88</v>
      </c>
      <c r="F99" s="112" t="s">
        <v>88</v>
      </c>
      <c r="G99" s="58">
        <v>1</v>
      </c>
      <c r="H99" s="58">
        <v>1</v>
      </c>
      <c r="I99" s="82" t="str">
        <f xml:space="preserve"> INDEX( co_impactTypes[damageAdjName], MATCH( co_variants[[#This Row],[sector_id]], co_impactTypes[sector_id], 0 ) ) &amp;
   IF( co_variants[[#This Row],[sector_id]] = "Roads", IF( co_variants[[#This Row],[variant_id_excel]] = "Proactive", "_proactive", "_other" ), "" )</f>
        <v>elecTD_growthFactor</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0</v>
      </c>
      <c r="L99"/>
      <c r="M99"/>
      <c r="N99"/>
      <c r="O99"/>
    </row>
    <row r="100" spans="2:15" ht="15" x14ac:dyDescent="0.25">
      <c r="B100" s="7">
        <f xml:space="preserve"> ROW( co_variants[[#This Row],[row_id]] ) - ROW( co_variants[[#Headers],[row_id]] )</f>
        <v>20</v>
      </c>
      <c r="C100" s="14" t="s">
        <v>17</v>
      </c>
      <c r="D100" s="57" t="s">
        <v>774</v>
      </c>
      <c r="E100" s="83" t="s">
        <v>928</v>
      </c>
      <c r="F100" s="112" t="s">
        <v>774</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5" x14ac:dyDescent="0.25">
      <c r="B101" s="7">
        <f xml:space="preserve"> ROW( co_variants[[#This Row],[row_id]] ) - ROW( co_variants[[#Headers],[row_id]] )</f>
        <v>21</v>
      </c>
      <c r="C101" s="14" t="s">
        <v>17</v>
      </c>
      <c r="D101" s="57" t="s">
        <v>1319</v>
      </c>
      <c r="E101" s="83" t="s">
        <v>87</v>
      </c>
      <c r="F101" s="112" t="s">
        <v>776</v>
      </c>
      <c r="G101" s="58">
        <v>1</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1</v>
      </c>
      <c r="L101"/>
      <c r="M101"/>
      <c r="N101"/>
      <c r="O101"/>
    </row>
    <row r="102" spans="2:15" ht="15" x14ac:dyDescent="0.25">
      <c r="B102" s="7">
        <f xml:space="preserve"> ROW( co_variants[[#This Row],[row_id]] ) - ROW( co_variants[[#Headers],[row_id]] )</f>
        <v>22</v>
      </c>
      <c r="C102" s="14" t="s">
        <v>221</v>
      </c>
      <c r="D102" s="57" t="s">
        <v>775</v>
      </c>
      <c r="E102" s="83" t="s">
        <v>231</v>
      </c>
      <c r="F102" s="112" t="s">
        <v>208</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23</v>
      </c>
      <c r="C103" s="14" t="s">
        <v>221</v>
      </c>
      <c r="D103" s="57" t="s">
        <v>1319</v>
      </c>
      <c r="E103" s="83" t="s">
        <v>87</v>
      </c>
      <c r="F103" s="112" t="s">
        <v>87</v>
      </c>
      <c r="G103" s="58">
        <v>0</v>
      </c>
      <c r="H103" s="58">
        <v>0</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22.5" x14ac:dyDescent="0.25">
      <c r="B104" s="7">
        <f xml:space="preserve"> ROW( co_variants[[#This Row],[row_id]] ) - ROW( co_variants[[#Headers],[row_id]] )</f>
        <v>24</v>
      </c>
      <c r="C104" s="14" t="s">
        <v>221</v>
      </c>
      <c r="D104" s="57" t="s">
        <v>779</v>
      </c>
      <c r="E104" s="112" t="s">
        <v>230</v>
      </c>
      <c r="F104" s="112" t="s">
        <v>88</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0</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25</v>
      </c>
      <c r="C105" s="14" t="s">
        <v>84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26</v>
      </c>
      <c r="C106" s="14" t="s">
        <v>34</v>
      </c>
      <c r="D106" s="57" t="s">
        <v>201</v>
      </c>
      <c r="E106" s="83" t="s">
        <v>927</v>
      </c>
      <c r="F106" s="112" t="s">
        <v>201</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27</v>
      </c>
      <c r="C107" s="14" t="s">
        <v>223</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none</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28</v>
      </c>
      <c r="C108" s="14" t="s">
        <v>1312</v>
      </c>
      <c r="D108" s="57" t="s">
        <v>201</v>
      </c>
      <c r="E108" s="83" t="s">
        <v>927</v>
      </c>
      <c r="F108" s="112" t="s">
        <v>201</v>
      </c>
      <c r="G108" s="97">
        <v>1</v>
      </c>
      <c r="H108" s="97">
        <v>1</v>
      </c>
      <c r="I108" s="82" t="str">
        <f xml:space="preserve"> INDEX( co_impactTypes[damageAdjName], MATCH( co_variants[[#This Row],[sector_id]], co_impactTypes[sector_id], 0 ) ) &amp;
   IF( co_variants[[#This Row],[sector_id]] = "Roads", IF( co_variants[[#This Row],[variant_id_excel]] = "Proactive", "_proactive", "_other" ), "" )</f>
        <v>MH_popDemoAdj</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29</v>
      </c>
      <c r="C109" s="14" t="s">
        <v>209</v>
      </c>
      <c r="D109" s="57" t="s">
        <v>1319</v>
      </c>
      <c r="E109" s="83" t="s">
        <v>87</v>
      </c>
      <c r="F109" s="112" t="s">
        <v>776</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30</v>
      </c>
      <c r="C110" s="14" t="s">
        <v>209</v>
      </c>
      <c r="D110" s="57" t="s">
        <v>777</v>
      </c>
      <c r="E110" s="112" t="s">
        <v>208</v>
      </c>
      <c r="F110" s="112" t="s">
        <v>208</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31</v>
      </c>
      <c r="C111" s="14" t="s">
        <v>209</v>
      </c>
      <c r="D111" s="57" t="s">
        <v>778</v>
      </c>
      <c r="E111" s="112" t="s">
        <v>88</v>
      </c>
      <c r="F111" s="112" t="s">
        <v>88</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rail_growth_factor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32</v>
      </c>
      <c r="C112" s="14" t="s">
        <v>216</v>
      </c>
      <c r="D112" s="57" t="s">
        <v>1319</v>
      </c>
      <c r="E112" s="83" t="s">
        <v>87</v>
      </c>
      <c r="F112" s="112" t="s">
        <v>889</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33</v>
      </c>
      <c r="C113" s="14" t="s">
        <v>216</v>
      </c>
      <c r="D113" s="57" t="s">
        <v>777</v>
      </c>
      <c r="E113" s="112" t="s">
        <v>208</v>
      </c>
      <c r="F113" s="112" t="s">
        <v>208</v>
      </c>
      <c r="G113" s="58">
        <v>0</v>
      </c>
      <c r="H113" s="58">
        <v>0</v>
      </c>
      <c r="I113"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5" x14ac:dyDescent="0.25">
      <c r="B114" s="7">
        <f xml:space="preserve"> ROW( co_variants[[#This Row],[row_id]] ) - ROW( co_variants[[#Headers],[row_id]] )</f>
        <v>34</v>
      </c>
      <c r="C114" s="14" t="s">
        <v>216</v>
      </c>
      <c r="D114" s="57" t="s">
        <v>778</v>
      </c>
      <c r="E114" s="112" t="s">
        <v>88</v>
      </c>
      <c r="F114" s="112" t="s">
        <v>88</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road_miles_and_pop_other</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35</v>
      </c>
      <c r="C115" s="14" t="s">
        <v>85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36</v>
      </c>
      <c r="C116" s="14" t="s">
        <v>225</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5" x14ac:dyDescent="0.25">
      <c r="B117" s="7">
        <f xml:space="preserve"> ROW( co_variants[[#This Row],[row_id]] ) - ROW( co_variants[[#Headers],[row_id]] )</f>
        <v>37</v>
      </c>
      <c r="C117" s="14" t="s">
        <v>983</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5" x14ac:dyDescent="0.25">
      <c r="B118" s="7">
        <f xml:space="preserve"> ROW( co_variants[[#This Row],[row_id]] ) - ROW( co_variants[[#Headers],[row_id]] )</f>
        <v>38</v>
      </c>
      <c r="C118" s="14" t="s">
        <v>1306</v>
      </c>
      <c r="D118" s="57" t="s">
        <v>201</v>
      </c>
      <c r="E118" s="83" t="s">
        <v>927</v>
      </c>
      <c r="F118" s="112" t="s">
        <v>201</v>
      </c>
      <c r="G118" s="97">
        <v>1</v>
      </c>
      <c r="H118" s="97">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39</v>
      </c>
      <c r="C119" s="14" t="s">
        <v>227</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40</v>
      </c>
      <c r="C120" s="14" t="s">
        <v>761</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1" spans="1:21" ht="15" x14ac:dyDescent="0.25">
      <c r="B121" s="7">
        <f xml:space="preserve"> ROW( co_variants[[#This Row],[row_id]] ) - ROW( co_variants[[#Headers],[row_id]] )</f>
        <v>41</v>
      </c>
      <c r="C121" s="14" t="s">
        <v>1088</v>
      </c>
      <c r="D121" s="57" t="s">
        <v>201</v>
      </c>
      <c r="E121" s="83" t="s">
        <v>927</v>
      </c>
      <c r="F121" s="112" t="s">
        <v>201</v>
      </c>
      <c r="G121" s="97">
        <v>1</v>
      </c>
      <c r="H121" s="97">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0</v>
      </c>
      <c r="L121"/>
      <c r="M121"/>
      <c r="N121"/>
      <c r="O121"/>
    </row>
    <row r="122" spans="1:21" ht="15" x14ac:dyDescent="0.25">
      <c r="B122" s="7">
        <f xml:space="preserve"> ROW( co_variants[[#This Row],[row_id]] ) - ROW( co_variants[[#Headers],[row_id]] )</f>
        <v>42</v>
      </c>
      <c r="C122" s="14" t="s">
        <v>89</v>
      </c>
      <c r="D122" s="57" t="s">
        <v>201</v>
      </c>
      <c r="E122" s="83" t="s">
        <v>927</v>
      </c>
      <c r="F122" s="112" t="s">
        <v>201</v>
      </c>
      <c r="G122" s="58">
        <v>1</v>
      </c>
      <c r="H122" s="58">
        <v>1</v>
      </c>
      <c r="I122" s="82" t="str">
        <f xml:space="preserve"> INDEX( co_impactTypes[damageAdjName], MATCH( co_variants[[#This Row],[sector_id]], co_impactTypes[sector_id], 0 ) ) &amp;
   IF( co_variants[[#This Row],[sector_id]] = "Roads", IF( co_variants[[#This Row],[variant_id_excel]] = "Proactive", "_proactive", "_other" ), "" )</f>
        <v>none</v>
      </c>
      <c r="J122" s="65" cm="1">
        <f t="array" ref="J122" xml:space="preserve"> --( SUMPRODUCT( --( co_variants[[#This Row],[sector_id]] = data_scaledImpacts[sector] ), --( co_variants[[#This Row],[variant_id_excel]] = data_scaledImpacts[variant] ) ) &gt; 1 )</f>
        <v>1</v>
      </c>
      <c r="K122" s="65" cm="1">
        <f t="array" ref="K122" xml:space="preserve"> --( SUMPRODUCT( --( co_impactTypes[sector_id] = co_variants[[#This Row],[sector_id]] ) ) &gt; 1 )</f>
        <v>1</v>
      </c>
      <c r="L122"/>
      <c r="M122"/>
      <c r="N122"/>
      <c r="O122"/>
    </row>
    <row r="124" spans="1:21" ht="15" x14ac:dyDescent="0.25">
      <c r="A124" s="47"/>
      <c r="B124" s="48" t="s">
        <v>200</v>
      </c>
      <c r="C124" s="48"/>
      <c r="D124" s="48"/>
      <c r="E124" s="48"/>
      <c r="F124" s="48"/>
      <c r="G124" s="48"/>
      <c r="H124" s="48"/>
      <c r="I124" s="48"/>
      <c r="J124" s="48"/>
      <c r="K124" s="48"/>
      <c r="L124" s="48"/>
      <c r="M124" s="48"/>
      <c r="N124" s="48"/>
      <c r="O124" s="48"/>
      <c r="P124" s="48"/>
      <c r="Q124" s="48"/>
      <c r="R124" s="48"/>
      <c r="S124" s="48"/>
      <c r="T124" s="48"/>
      <c r="U124" s="48"/>
    </row>
    <row r="125" spans="1:21" x14ac:dyDescent="0.2">
      <c r="B125" s="5" t="s">
        <v>1222</v>
      </c>
    </row>
    <row r="126" spans="1:21" x14ac:dyDescent="0.2">
      <c r="B126" s="60" t="s">
        <v>780</v>
      </c>
      <c r="C126" s="60" t="s">
        <v>219</v>
      </c>
      <c r="D126" s="60" t="s">
        <v>931</v>
      </c>
      <c r="E126" s="61" t="s">
        <v>932</v>
      </c>
      <c r="F126" s="60" t="s">
        <v>935</v>
      </c>
      <c r="G126" s="60" t="s">
        <v>933</v>
      </c>
      <c r="H126" s="60" t="s">
        <v>1019</v>
      </c>
      <c r="I126" s="60" t="s">
        <v>792</v>
      </c>
      <c r="J126" s="60" t="s">
        <v>794</v>
      </c>
      <c r="K126" s="60" t="s">
        <v>796</v>
      </c>
      <c r="L126" s="60" t="s">
        <v>262</v>
      </c>
      <c r="M126" s="60" t="s">
        <v>917</v>
      </c>
      <c r="N126" s="62" t="s">
        <v>763</v>
      </c>
      <c r="O126" s="62" t="s">
        <v>764</v>
      </c>
      <c r="P126" s="62" t="s">
        <v>765</v>
      </c>
      <c r="Q126" s="62" t="s">
        <v>766</v>
      </c>
      <c r="R126" s="62" t="s">
        <v>919</v>
      </c>
      <c r="S126" s="62" t="s">
        <v>1012</v>
      </c>
      <c r="T126" s="62" t="s">
        <v>1013</v>
      </c>
      <c r="U126" s="62" t="s">
        <v>1014</v>
      </c>
    </row>
    <row r="127" spans="1:21" x14ac:dyDescent="0.2">
      <c r="B127" s="7">
        <f xml:space="preserve"> ROW( co_impactTypes[[#This Row],[row_id]] ) - ROW(co_impactTypes[[#Headers],[row_id]] )</f>
        <v>1</v>
      </c>
      <c r="C127" s="14" t="s">
        <v>559</v>
      </c>
      <c r="D127" s="59" t="s">
        <v>800</v>
      </c>
      <c r="E127" s="83" t="s">
        <v>560</v>
      </c>
      <c r="F127" s="115" t="s">
        <v>560</v>
      </c>
      <c r="G127" s="63" t="s">
        <v>800</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7">
        <f xml:space="preserve"> ROW( co_impactTypes[[#This Row],[row_id]] ) - ROW(co_impactTypes[[#Headers],[row_id]] )</f>
        <v>2</v>
      </c>
      <c r="C128" s="14" t="s">
        <v>559</v>
      </c>
      <c r="D128" s="59" t="s">
        <v>801</v>
      </c>
      <c r="E128" s="83" t="s">
        <v>659</v>
      </c>
      <c r="F128" s="115" t="s">
        <v>659</v>
      </c>
      <c r="G128" s="63" t="s">
        <v>801</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7">
        <f xml:space="preserve"> ROW( co_impactTypes[[#This Row],[row_id]] ) - ROW(co_impactTypes[[#Headers],[row_id]] )</f>
        <v>3</v>
      </c>
      <c r="C129" s="14" t="s">
        <v>1005</v>
      </c>
      <c r="D129" s="59" t="s">
        <v>201</v>
      </c>
      <c r="E129" s="83" t="s">
        <v>927</v>
      </c>
      <c r="F129" s="115"/>
      <c r="G129" s="63" t="s">
        <v>1006</v>
      </c>
      <c r="H129" s="59"/>
      <c r="I129" s="59" t="s">
        <v>1009</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7">
        <f xml:space="preserve"> ROW( co_impactTypes[[#This Row],[row_id]] ) - ROW(co_impactTypes[[#Headers],[row_id]] )</f>
        <v>4</v>
      </c>
      <c r="C130" s="14" t="s">
        <v>1248</v>
      </c>
      <c r="D130" s="59" t="s">
        <v>201</v>
      </c>
      <c r="E130" s="83" t="s">
        <v>927</v>
      </c>
      <c r="F130" s="115"/>
      <c r="G130" s="63" t="s">
        <v>1266</v>
      </c>
      <c r="H130" s="59" t="s">
        <v>1020</v>
      </c>
      <c r="I130" s="59" t="s">
        <v>251</v>
      </c>
      <c r="J130" s="59" t="s">
        <v>256</v>
      </c>
      <c r="K130" s="59" t="s">
        <v>256</v>
      </c>
      <c r="L130" s="59" t="s">
        <v>786</v>
      </c>
      <c r="M130" s="59" t="s">
        <v>257</v>
      </c>
      <c r="N130" s="58">
        <v>0</v>
      </c>
      <c r="O130" s="58">
        <v>1</v>
      </c>
      <c r="P130" s="58">
        <v>0.4</v>
      </c>
      <c r="Q130" s="64">
        <f xml:space="preserve"> IF(co_impactTypes[[#This Row],[econMultiplierName]]="None", "N/A", 2010)</f>
        <v>2010</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7">
        <f xml:space="preserve"> ROW( co_impactTypes[[#This Row],[row_id]] ) - ROW(co_impactTypes[[#Headers],[row_id]] )</f>
        <v>5</v>
      </c>
      <c r="C131" s="14" t="s">
        <v>1229</v>
      </c>
      <c r="D131" s="59" t="s">
        <v>1166</v>
      </c>
      <c r="E131" s="59" t="s">
        <v>1166</v>
      </c>
      <c r="F131" s="59" t="s">
        <v>1166</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7">
        <f xml:space="preserve"> ROW( co_impactTypes[[#This Row],[row_id]] ) - ROW(co_impactTypes[[#Headers],[row_id]] )</f>
        <v>6</v>
      </c>
      <c r="C132" s="14" t="s">
        <v>1229</v>
      </c>
      <c r="D132" s="59" t="s">
        <v>1167</v>
      </c>
      <c r="E132" s="59" t="s">
        <v>1167</v>
      </c>
      <c r="F132" s="59" t="s">
        <v>1167</v>
      </c>
      <c r="G132" s="63" t="s">
        <v>1170</v>
      </c>
      <c r="H132" s="59"/>
      <c r="I132" s="59" t="s">
        <v>256</v>
      </c>
      <c r="J132" s="125" t="s">
        <v>256</v>
      </c>
      <c r="K132" s="125"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7">
        <f xml:space="preserve"> ROW( co_impactTypes[[#This Row],[row_id]] ) - ROW(co_impactTypes[[#Headers],[row_id]] )</f>
        <v>7</v>
      </c>
      <c r="C133" s="14" t="s">
        <v>1229</v>
      </c>
      <c r="D133" s="59" t="s">
        <v>1168</v>
      </c>
      <c r="E133" s="59" t="s">
        <v>1168</v>
      </c>
      <c r="F133" s="59" t="s">
        <v>1168</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7">
        <f xml:space="preserve"> ROW( co_impactTypes[[#This Row],[row_id]] ) - ROW(co_impactTypes[[#Headers],[row_id]] )</f>
        <v>8</v>
      </c>
      <c r="C134" s="14" t="s">
        <v>1229</v>
      </c>
      <c r="D134" s="59" t="s">
        <v>1169</v>
      </c>
      <c r="E134" s="59" t="s">
        <v>1169</v>
      </c>
      <c r="F134" s="59" t="s">
        <v>1169</v>
      </c>
      <c r="G134" s="63" t="s">
        <v>1170</v>
      </c>
      <c r="H134" s="59"/>
      <c r="I134" s="59" t="s">
        <v>256</v>
      </c>
      <c r="J134" s="59" t="s">
        <v>256</v>
      </c>
      <c r="K134" s="59" t="s">
        <v>256</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7">
        <f xml:space="preserve"> ROW( co_impactTypes[[#This Row],[row_id]] ) - ROW(co_impactTypes[[#Headers],[row_id]] )</f>
        <v>9</v>
      </c>
      <c r="C135" s="14" t="s">
        <v>1230</v>
      </c>
      <c r="D135" s="59" t="s">
        <v>1223</v>
      </c>
      <c r="E135" s="63" t="s">
        <v>1223</v>
      </c>
      <c r="F135" s="115" t="s">
        <v>1223</v>
      </c>
      <c r="G135" s="63" t="s">
        <v>1233</v>
      </c>
      <c r="H135" s="59" t="s">
        <v>1234</v>
      </c>
      <c r="I135" s="59" t="s">
        <v>256</v>
      </c>
      <c r="J135" s="59" t="s">
        <v>256</v>
      </c>
      <c r="K135" s="59" t="s">
        <v>256</v>
      </c>
      <c r="L135" s="59" t="s">
        <v>1225</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7">
        <f xml:space="preserve"> ROW( co_impactTypes[[#This Row],[row_id]] ) - ROW(co_impactTypes[[#Headers],[row_id]] )</f>
        <v>10</v>
      </c>
      <c r="C136" s="14" t="s">
        <v>1230</v>
      </c>
      <c r="D136" s="59" t="s">
        <v>1224</v>
      </c>
      <c r="E136" s="63" t="s">
        <v>1224</v>
      </c>
      <c r="F136" s="115" t="s">
        <v>1224</v>
      </c>
      <c r="G136" s="63" t="s">
        <v>1233</v>
      </c>
      <c r="H136" s="59" t="s">
        <v>1234</v>
      </c>
      <c r="I136" s="59" t="s">
        <v>256</v>
      </c>
      <c r="J136" s="59" t="s">
        <v>256</v>
      </c>
      <c r="K136" s="59" t="s">
        <v>256</v>
      </c>
      <c r="L136" s="59" t="s">
        <v>1227</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7">
        <f xml:space="preserve"> ROW( co_impactTypes[[#This Row],[row_id]] ) - ROW(co_impactTypes[[#Headers],[row_id]] )</f>
        <v>11</v>
      </c>
      <c r="C137" s="14" t="s">
        <v>1159</v>
      </c>
      <c r="D137" s="59" t="s">
        <v>201</v>
      </c>
      <c r="E137" s="83" t="s">
        <v>927</v>
      </c>
      <c r="F137" s="115"/>
      <c r="G137" s="63" t="s">
        <v>768</v>
      </c>
      <c r="H137" s="59" t="s">
        <v>1020</v>
      </c>
      <c r="I137" s="59" t="s">
        <v>251</v>
      </c>
      <c r="J137" s="59" t="s">
        <v>256</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7">
        <f xml:space="preserve"> ROW( co_impactTypes[[#This Row],[row_id]] ) - ROW(co_impactTypes[[#Headers],[row_id]] )</f>
        <v>12</v>
      </c>
      <c r="C138" s="14" t="s">
        <v>86</v>
      </c>
      <c r="D138" s="59" t="s">
        <v>201</v>
      </c>
      <c r="E138" s="83" t="s">
        <v>927</v>
      </c>
      <c r="F138" s="83" t="s">
        <v>927</v>
      </c>
      <c r="G138" s="63" t="s">
        <v>803</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7">
        <f xml:space="preserve"> ROW( co_impactTypes[[#This Row],[row_id]] ) - ROW(co_impactTypes[[#Headers],[row_id]] )</f>
        <v>13</v>
      </c>
      <c r="C139" s="14" t="s">
        <v>220</v>
      </c>
      <c r="D139" s="59" t="s">
        <v>201</v>
      </c>
      <c r="E139" s="83" t="s">
        <v>927</v>
      </c>
      <c r="F139" s="115"/>
      <c r="G139" s="63" t="s">
        <v>996</v>
      </c>
      <c r="H139" s="59"/>
      <c r="I139" s="59" t="s">
        <v>256</v>
      </c>
      <c r="J139" s="59" t="s">
        <v>256</v>
      </c>
      <c r="K139" s="59" t="s">
        <v>261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7">
        <f xml:space="preserve"> ROW( co_impactTypes[[#This Row],[row_id]] ) - ROW(co_impactTypes[[#Headers],[row_id]] )</f>
        <v>14</v>
      </c>
      <c r="C140" s="14" t="s">
        <v>1002</v>
      </c>
      <c r="D140" s="59" t="s">
        <v>201</v>
      </c>
      <c r="E140" s="83" t="s">
        <v>927</v>
      </c>
      <c r="F140" s="115"/>
      <c r="G140" s="66" t="s">
        <v>981</v>
      </c>
      <c r="H140" s="67"/>
      <c r="I140" s="59" t="s">
        <v>256</v>
      </c>
      <c r="J140" s="56" t="s">
        <v>256</v>
      </c>
      <c r="K140" s="56" t="s">
        <v>1003</v>
      </c>
      <c r="L140" s="59" t="s">
        <v>256</v>
      </c>
      <c r="M140" s="59" t="s">
        <v>256</v>
      </c>
      <c r="N140" s="58">
        <v>0</v>
      </c>
      <c r="O140" s="58">
        <v>1</v>
      </c>
      <c r="P140" s="58">
        <v>1</v>
      </c>
      <c r="Q140" s="64" t="str">
        <f xml:space="preserve"> IF(co_impactTypes[[#This Row],[econMultiplierName]]="None", "N/A", 2010)</f>
        <v>N/A</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7">
        <f xml:space="preserve"> ROW( co_impactTypes[[#This Row],[row_id]] ) - ROW(co_impactTypes[[#Headers],[row_id]] )</f>
        <v>15</v>
      </c>
      <c r="C141" s="14" t="s">
        <v>17</v>
      </c>
      <c r="D141" s="59" t="s">
        <v>203</v>
      </c>
      <c r="E141" s="83" t="s">
        <v>16</v>
      </c>
      <c r="F141" s="115" t="s">
        <v>16</v>
      </c>
      <c r="G141" s="63" t="s">
        <v>810</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7">
        <f xml:space="preserve"> ROW( co_impactTypes[[#This Row],[row_id]] ) - ROW(co_impactTypes[[#Headers],[row_id]] )</f>
        <v>16</v>
      </c>
      <c r="C142" s="14" t="s">
        <v>17</v>
      </c>
      <c r="D142" s="59" t="s">
        <v>202</v>
      </c>
      <c r="E142" s="83" t="s">
        <v>14</v>
      </c>
      <c r="F142" s="115" t="s">
        <v>14</v>
      </c>
      <c r="G142" s="63" t="s">
        <v>811</v>
      </c>
      <c r="H142" s="59" t="s">
        <v>1020</v>
      </c>
      <c r="I142" s="59" t="s">
        <v>251</v>
      </c>
      <c r="J142" s="59" t="s">
        <v>258</v>
      </c>
      <c r="K142" s="59" t="s">
        <v>256</v>
      </c>
      <c r="L142" s="59" t="s">
        <v>786</v>
      </c>
      <c r="M142" s="59" t="s">
        <v>257</v>
      </c>
      <c r="N142" s="58">
        <v>0</v>
      </c>
      <c r="O142" s="58">
        <v>1</v>
      </c>
      <c r="P142" s="58">
        <v>0.4</v>
      </c>
      <c r="Q142" s="64">
        <f xml:space="preserve"> IF(co_impactTypes[[#This Row],[econMultiplierName]]="None", "N/A", 2010)</f>
        <v>2010</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7">
        <f xml:space="preserve"> ROW( co_impactTypes[[#This Row],[row_id]] ) - ROW(co_impactTypes[[#Headers],[row_id]] )</f>
        <v>17</v>
      </c>
      <c r="C143" s="14" t="s">
        <v>221</v>
      </c>
      <c r="D143" s="59" t="s">
        <v>201</v>
      </c>
      <c r="E143" s="83" t="s">
        <v>927</v>
      </c>
      <c r="F143" s="83" t="s">
        <v>927</v>
      </c>
      <c r="G143" s="63" t="s">
        <v>224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7">
        <f xml:space="preserve"> ROW( co_impactTypes[[#This Row],[row_id]] ) - ROW(co_impactTypes[[#Headers],[row_id]] )</f>
        <v>18</v>
      </c>
      <c r="C144" s="14" t="s">
        <v>84</v>
      </c>
      <c r="D144" s="59" t="s">
        <v>201</v>
      </c>
      <c r="E144" s="83" t="s">
        <v>927</v>
      </c>
      <c r="F144" s="115"/>
      <c r="G144" s="63" t="s">
        <v>1086</v>
      </c>
      <c r="H144" s="59"/>
      <c r="I144" s="59" t="s">
        <v>256</v>
      </c>
      <c r="J144" s="59" t="s">
        <v>256</v>
      </c>
      <c r="K144" s="59" t="s">
        <v>256</v>
      </c>
      <c r="L144" s="59" t="s">
        <v>256</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7">
        <f xml:space="preserve"> ROW( co_impactTypes[[#This Row],[row_id]] ) - ROW(co_impactTypes[[#Headers],[row_id]] )</f>
        <v>19</v>
      </c>
      <c r="C145" s="14" t="s">
        <v>34</v>
      </c>
      <c r="D145" s="59" t="s">
        <v>201</v>
      </c>
      <c r="E145" s="83" t="s">
        <v>804</v>
      </c>
      <c r="F145" s="115"/>
      <c r="G145" s="63" t="s">
        <v>807</v>
      </c>
      <c r="H145" s="59" t="s">
        <v>1022</v>
      </c>
      <c r="I145" s="59" t="s">
        <v>759</v>
      </c>
      <c r="J145" s="59" t="s">
        <v>256</v>
      </c>
      <c r="K145" s="59" t="s">
        <v>256</v>
      </c>
      <c r="L145" s="59" t="s">
        <v>1010</v>
      </c>
      <c r="M145" s="59" t="s">
        <v>257</v>
      </c>
      <c r="N145" s="58">
        <v>0</v>
      </c>
      <c r="O145" s="58">
        <v>1</v>
      </c>
      <c r="P145" s="58">
        <v>1</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7">
        <f xml:space="preserve"> ROW( co_impactTypes[[#This Row],[row_id]] ) - ROW(co_impactTypes[[#Headers],[row_id]] )</f>
        <v>20</v>
      </c>
      <c r="C146" s="14" t="s">
        <v>223</v>
      </c>
      <c r="D146" s="59" t="s">
        <v>201</v>
      </c>
      <c r="E146" s="83" t="s">
        <v>927</v>
      </c>
      <c r="F146" s="115"/>
      <c r="G146" s="63" t="s">
        <v>1163</v>
      </c>
      <c r="H146" s="59"/>
      <c r="I146" s="59" t="s">
        <v>256</v>
      </c>
      <c r="J146" s="59" t="s">
        <v>256</v>
      </c>
      <c r="K146" s="59" t="s">
        <v>256</v>
      </c>
      <c r="L146" s="59" t="s">
        <v>256</v>
      </c>
      <c r="M146" s="59" t="s">
        <v>256</v>
      </c>
      <c r="N146" s="58">
        <v>0</v>
      </c>
      <c r="O146" s="58">
        <v>1000000</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7">
        <f xml:space="preserve"> ROW( co_impactTypes[[#This Row],[row_id]] ) - ROW(co_impactTypes[[#Headers],[row_id]] )</f>
        <v>21</v>
      </c>
      <c r="C147" s="14" t="s">
        <v>1312</v>
      </c>
      <c r="D147" s="59" t="s">
        <v>201</v>
      </c>
      <c r="E147" s="83" t="s">
        <v>927</v>
      </c>
      <c r="F147" s="115"/>
      <c r="G147" s="63" t="s">
        <v>1314</v>
      </c>
      <c r="H147" s="59" t="s">
        <v>1020</v>
      </c>
      <c r="I147" s="59" t="s">
        <v>251</v>
      </c>
      <c r="J147" s="59" t="s">
        <v>1317</v>
      </c>
      <c r="K147" s="59" t="s">
        <v>1315</v>
      </c>
      <c r="L147" s="59" t="s">
        <v>786</v>
      </c>
      <c r="M147" s="59" t="s">
        <v>257</v>
      </c>
      <c r="N147" s="58">
        <v>0</v>
      </c>
      <c r="O147" s="58">
        <v>1</v>
      </c>
      <c r="P147" s="58">
        <v>0.4</v>
      </c>
      <c r="Q147" s="64">
        <f xml:space="preserve"> IF(co_impactTypes[[#This Row],[econMultiplierName]]="None", "N/A", 2010)</f>
        <v>2010</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7">
        <f xml:space="preserve"> ROW( co_impactTypes[[#This Row],[row_id]] ) - ROW(co_impactTypes[[#Headers],[row_id]] )</f>
        <v>22</v>
      </c>
      <c r="C148" s="14" t="s">
        <v>209</v>
      </c>
      <c r="D148" s="59" t="s">
        <v>201</v>
      </c>
      <c r="E148" s="83" t="s">
        <v>927</v>
      </c>
      <c r="F148" s="115"/>
      <c r="G148" s="66" t="s">
        <v>805</v>
      </c>
      <c r="H148" s="67"/>
      <c r="I148" s="59" t="s">
        <v>236</v>
      </c>
      <c r="J148" s="56" t="s">
        <v>256</v>
      </c>
      <c r="K148" s="56" t="s">
        <v>781</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7">
        <f xml:space="preserve"> ROW( co_impactTypes[[#This Row],[row_id]] ) - ROW(co_impactTypes[[#Headers],[row_id]] )</f>
        <v>23</v>
      </c>
      <c r="C149" s="14" t="s">
        <v>216</v>
      </c>
      <c r="D149" s="59" t="s">
        <v>201</v>
      </c>
      <c r="E149" s="83" t="s">
        <v>927</v>
      </c>
      <c r="F149" s="115"/>
      <c r="G149" s="66" t="s">
        <v>808</v>
      </c>
      <c r="H149" s="67"/>
      <c r="I149" s="59" t="s">
        <v>250</v>
      </c>
      <c r="J149" s="56" t="s">
        <v>256</v>
      </c>
      <c r="K149" s="56" t="s">
        <v>237</v>
      </c>
      <c r="L149" s="59" t="s">
        <v>256</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7">
        <f xml:space="preserve"> ROW( co_impactTypes[[#This Row],[row_id]] ) - ROW(co_impactTypes[[#Headers],[row_id]] )</f>
        <v>24</v>
      </c>
      <c r="C150" s="14" t="s">
        <v>85</v>
      </c>
      <c r="D150" s="59" t="s">
        <v>982</v>
      </c>
      <c r="E150" s="83" t="s">
        <v>195</v>
      </c>
      <c r="F150" s="115" t="s">
        <v>195</v>
      </c>
      <c r="G150" s="63" t="s">
        <v>214</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7">
        <f xml:space="preserve"> ROW( co_impactTypes[[#This Row],[row_id]] ) - ROW(co_impactTypes[[#Headers],[row_id]] )</f>
        <v>25</v>
      </c>
      <c r="C151" s="14" t="s">
        <v>85</v>
      </c>
      <c r="D151" s="59" t="s">
        <v>217</v>
      </c>
      <c r="E151" s="83" t="s">
        <v>194</v>
      </c>
      <c r="F151" s="115" t="s">
        <v>194</v>
      </c>
      <c r="G151" s="63" t="s">
        <v>213</v>
      </c>
      <c r="H151" s="59"/>
      <c r="I151" s="59" t="s">
        <v>251</v>
      </c>
      <c r="J151" s="59" t="s">
        <v>259</v>
      </c>
      <c r="K151" s="59" t="s">
        <v>256</v>
      </c>
      <c r="L151" s="59" t="s">
        <v>788</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26</v>
      </c>
      <c r="C152" s="14" t="s">
        <v>85</v>
      </c>
      <c r="D152" s="59" t="s">
        <v>204</v>
      </c>
      <c r="E152" s="83" t="s">
        <v>191</v>
      </c>
      <c r="F152" s="115" t="s">
        <v>191</v>
      </c>
      <c r="G152" s="63" t="s">
        <v>204</v>
      </c>
      <c r="H152" s="59" t="s">
        <v>1020</v>
      </c>
      <c r="I152" s="59" t="s">
        <v>251</v>
      </c>
      <c r="J152" s="59" t="s">
        <v>259</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7">
        <f xml:space="preserve"> ROW( co_impactTypes[[#This Row],[row_id]] ) - ROW(co_impactTypes[[#Headers],[row_id]] )</f>
        <v>27</v>
      </c>
      <c r="C153" s="14" t="s">
        <v>85</v>
      </c>
      <c r="D153" s="59" t="s">
        <v>205</v>
      </c>
      <c r="E153" s="83" t="s">
        <v>193</v>
      </c>
      <c r="F153" s="115" t="s">
        <v>193</v>
      </c>
      <c r="G153" s="63" t="s">
        <v>212</v>
      </c>
      <c r="H153" s="59"/>
      <c r="I153" s="59" t="s">
        <v>251</v>
      </c>
      <c r="J153" s="59" t="s">
        <v>259</v>
      </c>
      <c r="K153" s="59" t="s">
        <v>256</v>
      </c>
      <c r="L153" s="59" t="s">
        <v>789</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28</v>
      </c>
      <c r="C154" s="14" t="s">
        <v>85</v>
      </c>
      <c r="D154" s="59" t="s">
        <v>249</v>
      </c>
      <c r="E154" s="83" t="s">
        <v>192</v>
      </c>
      <c r="F154" s="115" t="s">
        <v>192</v>
      </c>
      <c r="G154" s="63" t="s">
        <v>809</v>
      </c>
      <c r="H154" s="59"/>
      <c r="I154" s="59" t="s">
        <v>251</v>
      </c>
      <c r="J154" s="59" t="s">
        <v>259</v>
      </c>
      <c r="K154" s="59" t="s">
        <v>256</v>
      </c>
      <c r="L154" s="59" t="s">
        <v>812</v>
      </c>
      <c r="M154" s="59" t="s">
        <v>256</v>
      </c>
      <c r="N154" s="58">
        <v>0</v>
      </c>
      <c r="O154" s="58">
        <v>1</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7">
        <f xml:space="preserve"> ROW( co_impactTypes[[#This Row],[row_id]] ) - ROW(co_impactTypes[[#Headers],[row_id]] )</f>
        <v>29</v>
      </c>
      <c r="C155" s="14" t="s">
        <v>225</v>
      </c>
      <c r="D155" s="59" t="s">
        <v>201</v>
      </c>
      <c r="E155" s="83" t="s">
        <v>927</v>
      </c>
      <c r="F155" s="115"/>
      <c r="G155" s="63" t="s">
        <v>995</v>
      </c>
      <c r="H155" s="59"/>
      <c r="I155" s="59" t="s">
        <v>256</v>
      </c>
      <c r="J155" s="59" t="s">
        <v>256</v>
      </c>
      <c r="K155" s="59" t="s">
        <v>256</v>
      </c>
      <c r="L155" s="59" t="s">
        <v>256</v>
      </c>
      <c r="M155" s="59" t="s">
        <v>256</v>
      </c>
      <c r="N155" s="58">
        <v>0</v>
      </c>
      <c r="O155" s="58">
        <f>10^6</f>
        <v>1000000</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30</v>
      </c>
      <c r="C156" s="14" t="s">
        <v>983</v>
      </c>
      <c r="D156" s="59" t="s">
        <v>994</v>
      </c>
      <c r="E156" s="83" t="s">
        <v>804</v>
      </c>
      <c r="F156" s="115" t="s">
        <v>994</v>
      </c>
      <c r="G156" s="63" t="s">
        <v>994</v>
      </c>
      <c r="H156" s="59"/>
      <c r="I156" s="59" t="s">
        <v>251</v>
      </c>
      <c r="J156" s="59" t="s">
        <v>989</v>
      </c>
      <c r="K156" s="59" t="s">
        <v>256</v>
      </c>
      <c r="L156" s="59" t="s">
        <v>990</v>
      </c>
      <c r="M156" s="59" t="s">
        <v>257</v>
      </c>
      <c r="N156" s="58">
        <v>0</v>
      </c>
      <c r="O156" s="58">
        <v>1</v>
      </c>
      <c r="P156" s="58">
        <v>1</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31</v>
      </c>
      <c r="C157" s="14" t="s">
        <v>983</v>
      </c>
      <c r="D157" s="59" t="s">
        <v>769</v>
      </c>
      <c r="E157" s="115" t="s">
        <v>769</v>
      </c>
      <c r="F157" s="115" t="s">
        <v>769</v>
      </c>
      <c r="G157" s="63" t="s">
        <v>769</v>
      </c>
      <c r="H157" s="59"/>
      <c r="I157" s="59" t="s">
        <v>251</v>
      </c>
      <c r="J157" s="59" t="s">
        <v>1011</v>
      </c>
      <c r="K157" s="59" t="s">
        <v>256</v>
      </c>
      <c r="L157" s="59" t="s">
        <v>991</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32</v>
      </c>
      <c r="C158" s="14" t="s">
        <v>983</v>
      </c>
      <c r="D158" s="59" t="s">
        <v>768</v>
      </c>
      <c r="E158" s="115" t="s">
        <v>768</v>
      </c>
      <c r="F158" s="115" t="s">
        <v>768</v>
      </c>
      <c r="G158" s="63" t="s">
        <v>768</v>
      </c>
      <c r="H158" s="59" t="s">
        <v>1020</v>
      </c>
      <c r="I158" s="59" t="s">
        <v>251</v>
      </c>
      <c r="J158" s="59" t="s">
        <v>988</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7">
        <f xml:space="preserve"> ROW( co_impactTypes[[#This Row],[row_id]] ) - ROW(co_impactTypes[[#Headers],[row_id]] )</f>
        <v>33</v>
      </c>
      <c r="C159" s="14" t="s">
        <v>1306</v>
      </c>
      <c r="D159" s="59" t="s">
        <v>1307</v>
      </c>
      <c r="E159" s="83" t="s">
        <v>1309</v>
      </c>
      <c r="F159" s="115" t="s">
        <v>1309</v>
      </c>
      <c r="G159" s="63" t="s">
        <v>1307</v>
      </c>
      <c r="H159" s="59"/>
      <c r="I159" s="59" t="s">
        <v>256</v>
      </c>
      <c r="J159" s="59" t="s">
        <v>256</v>
      </c>
      <c r="K159" s="59" t="s">
        <v>256</v>
      </c>
      <c r="L159" s="59" t="s">
        <v>256</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7">
        <f xml:space="preserve"> ROW( co_impactTypes[[#This Row],[row_id]] ) - ROW(co_impactTypes[[#Headers],[row_id]] )</f>
        <v>34</v>
      </c>
      <c r="C160" s="14" t="s">
        <v>1306</v>
      </c>
      <c r="D160" s="59" t="s">
        <v>1308</v>
      </c>
      <c r="E160" s="83" t="s">
        <v>1310</v>
      </c>
      <c r="F160" s="115" t="s">
        <v>1310</v>
      </c>
      <c r="G160" s="63" t="s">
        <v>1308</v>
      </c>
      <c r="H160" s="59"/>
      <c r="I160" s="59" t="s">
        <v>256</v>
      </c>
      <c r="J160" s="59" t="s">
        <v>256</v>
      </c>
      <c r="K160" s="59" t="s">
        <v>256</v>
      </c>
      <c r="L160" s="59" t="s">
        <v>990</v>
      </c>
      <c r="M160" s="59" t="s">
        <v>257</v>
      </c>
      <c r="N160" s="58">
        <v>0</v>
      </c>
      <c r="O160" s="58">
        <v>1</v>
      </c>
      <c r="P160" s="58">
        <v>1</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7">
        <f xml:space="preserve"> ROW( co_impactTypes[[#This Row],[row_id]] ) - ROW(co_impactTypes[[#Headers],[row_id]] )</f>
        <v>35</v>
      </c>
      <c r="C161" s="14" t="s">
        <v>1306</v>
      </c>
      <c r="D161" s="59" t="s">
        <v>768</v>
      </c>
      <c r="E161" s="83" t="s">
        <v>768</v>
      </c>
      <c r="F161" s="115" t="s">
        <v>768</v>
      </c>
      <c r="G161" s="63" t="s">
        <v>768</v>
      </c>
      <c r="H161" s="59"/>
      <c r="I161" s="59" t="s">
        <v>256</v>
      </c>
      <c r="J161" s="59" t="s">
        <v>256</v>
      </c>
      <c r="K161" s="59" t="s">
        <v>256</v>
      </c>
      <c r="L161" s="59" t="s">
        <v>786</v>
      </c>
      <c r="M161" s="59" t="s">
        <v>257</v>
      </c>
      <c r="N161" s="58">
        <v>0</v>
      </c>
      <c r="O161" s="58">
        <v>1</v>
      </c>
      <c r="P161" s="58">
        <v>0.4</v>
      </c>
      <c r="Q161" s="64">
        <f xml:space="preserve"> IF(co_impactTypes[[#This Row],[econMultiplierName]]="None", "N/A", 2010)</f>
        <v>2010</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7">
        <f xml:space="preserve"> ROW( co_impactTypes[[#This Row],[row_id]] ) - ROW(co_impactTypes[[#Headers],[row_id]] )</f>
        <v>36</v>
      </c>
      <c r="C162" s="14" t="s">
        <v>227</v>
      </c>
      <c r="D162" s="59" t="s">
        <v>201</v>
      </c>
      <c r="E162" s="83" t="s">
        <v>927</v>
      </c>
      <c r="F162" s="115"/>
      <c r="G162" s="63" t="s">
        <v>806</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37</v>
      </c>
      <c r="C163" s="14" t="s">
        <v>761</v>
      </c>
      <c r="D163" s="59" t="s">
        <v>769</v>
      </c>
      <c r="E163" s="83" t="s">
        <v>769</v>
      </c>
      <c r="F163" s="115" t="s">
        <v>769</v>
      </c>
      <c r="G163" s="63" t="s">
        <v>769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38</v>
      </c>
      <c r="C164" s="14" t="s">
        <v>761</v>
      </c>
      <c r="D164" s="59" t="s">
        <v>768</v>
      </c>
      <c r="E164" s="83" t="s">
        <v>768</v>
      </c>
      <c r="F164" s="115" t="s">
        <v>768</v>
      </c>
      <c r="G164" s="63" t="s">
        <v>768</v>
      </c>
      <c r="H164" s="59" t="s">
        <v>1020</v>
      </c>
      <c r="I164" s="59" t="s">
        <v>251</v>
      </c>
      <c r="J164" s="59" t="s">
        <v>256</v>
      </c>
      <c r="K164" s="59" t="s">
        <v>256</v>
      </c>
      <c r="L164" s="59" t="s">
        <v>786</v>
      </c>
      <c r="M164" s="59" t="s">
        <v>257</v>
      </c>
      <c r="N164" s="58">
        <v>0</v>
      </c>
      <c r="O164" s="58">
        <v>1</v>
      </c>
      <c r="P164" s="58">
        <v>0.4</v>
      </c>
      <c r="Q164" s="64">
        <f xml:space="preserve"> IF(co_impactTypes[[#This Row],[econMultiplierName]]="None", "N/A", 2010)</f>
        <v>2010</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7">
        <f xml:space="preserve"> ROW( co_impactTypes[[#This Row],[row_id]] ) - ROW(co_impactTypes[[#Headers],[row_id]] )</f>
        <v>39</v>
      </c>
      <c r="C165" s="14" t="s">
        <v>761</v>
      </c>
      <c r="D165" s="59" t="s">
        <v>802</v>
      </c>
      <c r="E165" s="83" t="s">
        <v>772</v>
      </c>
      <c r="F165" s="115" t="s">
        <v>802</v>
      </c>
      <c r="G165" s="63" t="s">
        <v>802</v>
      </c>
      <c r="H165" s="59" t="s">
        <v>1021</v>
      </c>
      <c r="I165" s="59" t="s">
        <v>256</v>
      </c>
      <c r="J165" s="59" t="s">
        <v>256</v>
      </c>
      <c r="K165" s="59" t="s">
        <v>256</v>
      </c>
      <c r="L165" s="59" t="s">
        <v>771</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7">
        <f xml:space="preserve"> ROW( co_impactTypes[[#This Row],[row_id]] ) - ROW(co_impactTypes[[#Headers],[row_id]] )</f>
        <v>40</v>
      </c>
      <c r="C166" s="14" t="s">
        <v>1088</v>
      </c>
      <c r="D166" s="59" t="s">
        <v>201</v>
      </c>
      <c r="E166" s="83" t="s">
        <v>927</v>
      </c>
      <c r="F166" s="115"/>
      <c r="G166" s="63" t="s">
        <v>1099</v>
      </c>
      <c r="H166" s="59"/>
      <c r="I166" s="59" t="s">
        <v>256</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7">
        <f xml:space="preserve"> ROW( co_impactTypes[[#This Row],[row_id]] ) - ROW(co_impactTypes[[#Headers],[row_id]] )</f>
        <v>41</v>
      </c>
      <c r="C167" s="14" t="s">
        <v>89</v>
      </c>
      <c r="D167" s="59" t="s">
        <v>206</v>
      </c>
      <c r="E167" s="83" t="s">
        <v>90</v>
      </c>
      <c r="F167" s="115" t="s">
        <v>90</v>
      </c>
      <c r="G167" s="63" t="s">
        <v>997</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7">
        <f xml:space="preserve"> ROW( co_impactTypes[[#This Row],[row_id]] ) - ROW(co_impactTypes[[#Headers],[row_id]] )</f>
        <v>42</v>
      </c>
      <c r="C168" s="14" t="s">
        <v>89</v>
      </c>
      <c r="D168" s="59" t="s">
        <v>207</v>
      </c>
      <c r="E168" s="83" t="s">
        <v>91</v>
      </c>
      <c r="F168" s="115" t="s">
        <v>91</v>
      </c>
      <c r="G168" s="63" t="s">
        <v>998</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7">
        <f xml:space="preserve"> ROW( co_impactTypes[[#This Row],[row_id]] ) - ROW(co_impactTypes[[#Headers],[row_id]] )</f>
        <v>43</v>
      </c>
      <c r="C169" s="14" t="s">
        <v>89</v>
      </c>
      <c r="D169" s="59" t="s">
        <v>92</v>
      </c>
      <c r="E169" s="83" t="s">
        <v>92</v>
      </c>
      <c r="F169" s="115" t="s">
        <v>92</v>
      </c>
      <c r="G169" s="63" t="s">
        <v>999</v>
      </c>
      <c r="H169" s="59"/>
      <c r="I169" s="59" t="s">
        <v>251</v>
      </c>
      <c r="J169" s="59" t="s">
        <v>256</v>
      </c>
      <c r="K169" s="59" t="s">
        <v>256</v>
      </c>
      <c r="L169" s="59" t="s">
        <v>256</v>
      </c>
      <c r="M169" s="59" t="s">
        <v>256</v>
      </c>
      <c r="N169" s="58">
        <v>0</v>
      </c>
      <c r="O169" s="58">
        <v>1</v>
      </c>
      <c r="P169" s="58">
        <v>1</v>
      </c>
      <c r="Q169" s="64" t="str">
        <f xml:space="preserve"> IF(co_impactTypes[[#This Row],[econMultiplierName]]="None", "N/A", 2010)</f>
        <v>N/A</v>
      </c>
      <c r="R169" s="65"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5" cm="1">
        <f t="array" ref="S169" xml:space="preserve"> IF( co_impactTypes[[#This Row],[damageAdjName]] = "none", 1, --( SUMPRODUCT( --IF( ISERROR( FIND( co_impactTypes[[#This Row],[damageAdjName]], scalarDataframe[scalarName] ) ), 0, 1 ), --( "damageAdj" = scalarDataframe[scalarType] ) ) &gt;= 1 ) )</f>
        <v>1</v>
      </c>
      <c r="T169" s="65" cm="1">
        <f t="array" ref="T169" xml:space="preserve"> IF( co_impactTypes[[#This Row],[econScalarName]] = "none", 1, --( SUMPRODUCT( --IF( ISERROR( FIND( co_impactTypes[[#This Row],[econScalarName]], scalarDataframe[scalarName] ) ), 0, 1 ), --( "econScalar" = scalarDataframe[scalarType] ) ) &gt;= 1 ) )</f>
        <v>1</v>
      </c>
      <c r="U169" s="65"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7"/>
      <c r="B172" s="48" t="s">
        <v>1161</v>
      </c>
      <c r="C172" s="48"/>
      <c r="D172" s="48"/>
      <c r="E172" s="48"/>
      <c r="F172" s="48"/>
      <c r="G172" s="48"/>
      <c r="H172" s="48"/>
      <c r="I172" s="48"/>
      <c r="J172" s="48"/>
      <c r="K172" s="48"/>
      <c r="L172" s="48"/>
      <c r="M172" s="48"/>
      <c r="N172" s="48"/>
      <c r="O172" s="48"/>
      <c r="P172" s="48"/>
      <c r="Q172" s="48"/>
      <c r="R172" s="48"/>
      <c r="S172" s="48"/>
      <c r="T172" s="48"/>
      <c r="U172" s="48"/>
    </row>
    <row r="174" spans="1:21" ht="15" x14ac:dyDescent="0.25">
      <c r="B174" s="60" t="s">
        <v>780</v>
      </c>
      <c r="C174" s="60" t="s">
        <v>254</v>
      </c>
      <c r="D174" s="60" t="s">
        <v>253</v>
      </c>
      <c r="E174" s="62" t="s">
        <v>813</v>
      </c>
      <c r="F174" s="62" t="s">
        <v>891</v>
      </c>
      <c r="G174" s="62" t="s">
        <v>892</v>
      </c>
      <c r="H174" s="62" t="s">
        <v>817</v>
      </c>
      <c r="I174" s="62" t="s">
        <v>909</v>
      </c>
      <c r="J174" s="60" t="s">
        <v>833</v>
      </c>
      <c r="K174" s="60" t="s">
        <v>1015</v>
      </c>
      <c r="R174" s="8"/>
      <c r="S174" s="8"/>
      <c r="T174" s="8"/>
    </row>
    <row r="175" spans="1:21" ht="22.5" x14ac:dyDescent="0.25">
      <c r="B175" s="12">
        <f xml:space="preserve"> ROW( co_scalarInfo[[#This Row],[row_id]] ) - ROW( co_scalarInfo[[#Headers],[row_id]] )</f>
        <v>1</v>
      </c>
      <c r="C175" s="57" t="s">
        <v>261</v>
      </c>
      <c r="D175" s="57" t="s">
        <v>260</v>
      </c>
      <c r="E175" s="135" t="s">
        <v>815</v>
      </c>
      <c r="F175" s="135" t="s">
        <v>895</v>
      </c>
      <c r="G175" s="135" t="s">
        <v>894</v>
      </c>
      <c r="H175" s="135">
        <v>2015</v>
      </c>
      <c r="I175" s="136" t="s">
        <v>910</v>
      </c>
      <c r="J175" s="69"/>
      <c r="K175" s="69" cm="1">
        <f t="array" ref="K175" xml:space="preserve"> SUMPRODUCT( --( co_scalarInfo[[#This Row],[scalarName]] = scalarDataframe[scalarName] ) )</f>
        <v>140</v>
      </c>
      <c r="R175"/>
      <c r="S175"/>
      <c r="T175"/>
    </row>
    <row r="176" spans="1:21" ht="33.75" x14ac:dyDescent="0.25">
      <c r="B176" s="12">
        <f xml:space="preserve"> ROW( co_scalarInfo[[#This Row],[row_id]] ) - ROW( co_scalarInfo[[#Headers],[row_id]] )</f>
        <v>2</v>
      </c>
      <c r="C176" s="63" t="s">
        <v>1003</v>
      </c>
      <c r="D176" s="57" t="s">
        <v>798</v>
      </c>
      <c r="E176" s="135" t="s">
        <v>815</v>
      </c>
      <c r="F176" s="135" t="s">
        <v>895</v>
      </c>
      <c r="G176" s="135" t="s">
        <v>894</v>
      </c>
      <c r="H176" s="137" t="s">
        <v>946</v>
      </c>
      <c r="I176" s="136" t="s">
        <v>910</v>
      </c>
      <c r="J176" s="69"/>
      <c r="K176" s="69" cm="1">
        <f t="array" ref="K176" xml:space="preserve"> SUMPRODUCT( --( co_scalarInfo[[#This Row],[scalarName]] = scalarDataframe[scalarName] ) )</f>
        <v>140</v>
      </c>
      <c r="R176"/>
      <c r="S176"/>
      <c r="T176"/>
    </row>
    <row r="177" spans="2:20" ht="15" x14ac:dyDescent="0.25">
      <c r="B177" s="12">
        <f xml:space="preserve"> ROW( co_scalarInfo[[#This Row],[row_id]] ) - ROW( co_scalarInfo[[#Headers],[row_id]] )</f>
        <v>3</v>
      </c>
      <c r="C177" s="63" t="s">
        <v>256</v>
      </c>
      <c r="D177" s="57" t="s">
        <v>915</v>
      </c>
      <c r="E177" s="135" t="s">
        <v>815</v>
      </c>
      <c r="F177" s="135" t="s">
        <v>785</v>
      </c>
      <c r="G177" s="135" t="s">
        <v>893</v>
      </c>
      <c r="H177" s="135" t="s">
        <v>201</v>
      </c>
      <c r="I177" s="136" t="s">
        <v>912</v>
      </c>
      <c r="J177" s="69" t="s">
        <v>916</v>
      </c>
      <c r="K177" s="69" cm="1">
        <f t="array" ref="K177" xml:space="preserve"> SUMPRODUCT( --( co_scalarInfo[[#This Row],[scalarName]] = scalarDataframe[scalarName] ) )</f>
        <v>0</v>
      </c>
      <c r="R177"/>
      <c r="S177"/>
      <c r="T177"/>
    </row>
    <row r="178" spans="2:20" ht="15" x14ac:dyDescent="0.25">
      <c r="B178" s="12">
        <f xml:space="preserve"> ROW( co_scalarInfo[[#This Row],[row_id]] ) - ROW( co_scalarInfo[[#Headers],[row_id]] )</f>
        <v>4</v>
      </c>
      <c r="C178" s="63" t="s">
        <v>781</v>
      </c>
      <c r="D178" s="57" t="s">
        <v>799</v>
      </c>
      <c r="E178" s="135" t="s">
        <v>815</v>
      </c>
      <c r="F178" s="135" t="s">
        <v>895</v>
      </c>
      <c r="G178" s="135" t="s">
        <v>893</v>
      </c>
      <c r="H178" s="137" t="s">
        <v>946</v>
      </c>
      <c r="I178" s="136" t="s">
        <v>910</v>
      </c>
      <c r="J178" s="69"/>
      <c r="K178" s="69" cm="1">
        <f t="array" ref="K178" xml:space="preserve"> SUMPRODUCT( --( co_scalarInfo[[#This Row],[scalarName]] = scalarDataframe[scalarName] ) )</f>
        <v>20</v>
      </c>
      <c r="R178"/>
      <c r="S178"/>
      <c r="T178"/>
    </row>
    <row r="179" spans="2:20" ht="45" x14ac:dyDescent="0.25">
      <c r="B179" s="12">
        <f xml:space="preserve"> ROW( co_scalarInfo[[#This Row],[row_id]] ) - ROW( co_scalarInfo[[#Headers],[row_id]] )</f>
        <v>5</v>
      </c>
      <c r="C179" s="63" t="s">
        <v>897</v>
      </c>
      <c r="D179" s="57" t="s">
        <v>900</v>
      </c>
      <c r="E179" s="135" t="s">
        <v>815</v>
      </c>
      <c r="F179" s="135" t="s">
        <v>895</v>
      </c>
      <c r="G179" s="135" t="s">
        <v>894</v>
      </c>
      <c r="H179" s="137" t="s">
        <v>946</v>
      </c>
      <c r="I179" s="136" t="s">
        <v>910</v>
      </c>
      <c r="J179" s="69" t="s">
        <v>899</v>
      </c>
      <c r="K179" s="69" cm="1">
        <f t="array" ref="K179" xml:space="preserve"> SUMPRODUCT( --( co_scalarInfo[[#This Row],[scalarName]] = scalarDataframe[scalarName] ) )</f>
        <v>157</v>
      </c>
      <c r="R179"/>
      <c r="S179"/>
      <c r="T179"/>
    </row>
    <row r="180" spans="2:20" ht="33.75" x14ac:dyDescent="0.25">
      <c r="B180" s="12">
        <f xml:space="preserve"> ROW( co_scalarInfo[[#This Row],[row_id]] ) - ROW( co_scalarInfo[[#Headers],[row_id]] )</f>
        <v>6</v>
      </c>
      <c r="C180" s="63" t="s">
        <v>896</v>
      </c>
      <c r="D180" s="57" t="s">
        <v>901</v>
      </c>
      <c r="E180" s="135" t="s">
        <v>815</v>
      </c>
      <c r="F180" s="135" t="s">
        <v>895</v>
      </c>
      <c r="G180" s="135" t="s">
        <v>894</v>
      </c>
      <c r="H180" s="137" t="s">
        <v>946</v>
      </c>
      <c r="I180" s="136" t="s">
        <v>910</v>
      </c>
      <c r="J180" s="69" t="s">
        <v>898</v>
      </c>
      <c r="K180" s="69" cm="1">
        <f t="array" ref="K180" xml:space="preserve"> SUMPRODUCT( --( co_scalarInfo[[#This Row],[scalarName]] = scalarDataframe[scalarName] ) )</f>
        <v>157</v>
      </c>
      <c r="R180"/>
      <c r="S180"/>
      <c r="T180"/>
    </row>
    <row r="181" spans="2:20" ht="15" x14ac:dyDescent="0.25">
      <c r="B181" s="12">
        <f xml:space="preserve"> ROW( co_scalarInfo[[#This Row],[row_id]] ) - ROW( co_scalarInfo[[#Headers],[row_id]] )</f>
        <v>7</v>
      </c>
      <c r="C181" s="63" t="s">
        <v>990</v>
      </c>
      <c r="D181" s="57" t="s">
        <v>992</v>
      </c>
      <c r="E181" s="135" t="s">
        <v>814</v>
      </c>
      <c r="F181" s="135" t="s">
        <v>785</v>
      </c>
      <c r="G181" s="135" t="s">
        <v>893</v>
      </c>
      <c r="H181" s="137" t="s">
        <v>946</v>
      </c>
      <c r="I181" s="136" t="s">
        <v>910</v>
      </c>
      <c r="J181" s="69"/>
      <c r="K181" s="69" cm="1">
        <f t="array" ref="K181" xml:space="preserve"> SUMPRODUCT( --( co_scalarInfo[[#This Row],[scalarName]] = scalarDataframe[scalarName] ) )</f>
        <v>1</v>
      </c>
      <c r="R181"/>
      <c r="S181"/>
      <c r="T181"/>
    </row>
    <row r="182" spans="2:20" ht="15" x14ac:dyDescent="0.25">
      <c r="B182" s="12">
        <f xml:space="preserve"> ROW( co_scalarInfo[[#This Row],[row_id]] ) - ROW( co_scalarInfo[[#Headers],[row_id]] )</f>
        <v>8</v>
      </c>
      <c r="C182" s="57" t="s">
        <v>1010</v>
      </c>
      <c r="D182" s="57" t="s">
        <v>767</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2.5" x14ac:dyDescent="0.25">
      <c r="B183" s="12">
        <f xml:space="preserve"> ROW( co_scalarInfo[[#This Row],[row_id]] ) - ROW( co_scalarInfo[[#Headers],[row_id]] )</f>
        <v>9</v>
      </c>
      <c r="C183" s="63" t="s">
        <v>812</v>
      </c>
      <c r="D183" s="57" t="s">
        <v>791</v>
      </c>
      <c r="E183" s="135" t="s">
        <v>814</v>
      </c>
      <c r="F183" s="135" t="s">
        <v>785</v>
      </c>
      <c r="G183" s="135" t="s">
        <v>893</v>
      </c>
      <c r="H183" s="135">
        <v>2015</v>
      </c>
      <c r="I183" s="136" t="s">
        <v>910</v>
      </c>
      <c r="J183" s="69"/>
      <c r="K183" s="69" cm="1">
        <f t="array" ref="K183" xml:space="preserve"> SUMPRODUCT( --( co_scalarInfo[[#This Row],[scalarName]] = scalarDataframe[scalarName] ) )</f>
        <v>1</v>
      </c>
      <c r="R183"/>
      <c r="S183"/>
      <c r="T183"/>
    </row>
    <row r="184" spans="2:20" ht="22.5" x14ac:dyDescent="0.2">
      <c r="B184" s="12">
        <f xml:space="preserve"> ROW( co_scalarInfo[[#This Row],[row_id]] ) - ROW( co_scalarInfo[[#Headers],[row_id]] )</f>
        <v>10</v>
      </c>
      <c r="C184" s="63" t="s">
        <v>788</v>
      </c>
      <c r="D184" s="57" t="s">
        <v>787</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ht="22.5" x14ac:dyDescent="0.2">
      <c r="B185" s="12">
        <f xml:space="preserve"> ROW( co_scalarInfo[[#This Row],[row_id]] ) - ROW( co_scalarInfo[[#Headers],[row_id]] )</f>
        <v>11</v>
      </c>
      <c r="C185" s="63" t="s">
        <v>789</v>
      </c>
      <c r="D185" s="57" t="s">
        <v>790</v>
      </c>
      <c r="E185" s="135" t="s">
        <v>814</v>
      </c>
      <c r="F185" s="135" t="s">
        <v>785</v>
      </c>
      <c r="G185" s="135" t="s">
        <v>893</v>
      </c>
      <c r="H185" s="135">
        <v>2015</v>
      </c>
      <c r="I185" s="136" t="s">
        <v>910</v>
      </c>
      <c r="J185" s="69"/>
      <c r="K185" s="69" cm="1">
        <f t="array" ref="K185" xml:space="preserve"> SUMPRODUCT( --( co_scalarInfo[[#This Row],[scalarName]] = scalarDataframe[scalarName] ) )</f>
        <v>1</v>
      </c>
    </row>
    <row r="186" spans="2:20" x14ac:dyDescent="0.2">
      <c r="B186" s="12">
        <f xml:space="preserve"> ROW( co_scalarInfo[[#This Row],[row_id]] ) - ROW( co_scalarInfo[[#Headers],[row_id]] )</f>
        <v>12</v>
      </c>
      <c r="C186" s="63" t="s">
        <v>256</v>
      </c>
      <c r="D186" s="57" t="s">
        <v>915</v>
      </c>
      <c r="E186" s="135" t="s">
        <v>814</v>
      </c>
      <c r="F186" s="135" t="s">
        <v>785</v>
      </c>
      <c r="G186" s="135" t="s">
        <v>893</v>
      </c>
      <c r="H186" s="135" t="s">
        <v>201</v>
      </c>
      <c r="I186" s="136" t="s">
        <v>912</v>
      </c>
      <c r="J186" s="69" t="s">
        <v>916</v>
      </c>
      <c r="K186" s="69" cm="1">
        <f t="array" ref="K186" xml:space="preserve"> SUMPRODUCT( --( co_scalarInfo[[#This Row],[scalarName]] = scalarDataframe[scalarName] ) )</f>
        <v>0</v>
      </c>
    </row>
    <row r="187" spans="2:20" x14ac:dyDescent="0.2">
      <c r="B187" s="12">
        <f xml:space="preserve"> ROW( co_scalarInfo[[#This Row],[row_id]] ) - ROW( co_scalarInfo[[#Headers],[row_id]] )</f>
        <v>13</v>
      </c>
      <c r="C187" s="63" t="s">
        <v>1225</v>
      </c>
      <c r="D187" s="57" t="s">
        <v>1226</v>
      </c>
      <c r="E187" s="135" t="s">
        <v>814</v>
      </c>
      <c r="F187" s="135" t="s">
        <v>785</v>
      </c>
      <c r="G187" s="135" t="s">
        <v>894</v>
      </c>
      <c r="H187" s="137">
        <v>2015</v>
      </c>
      <c r="I187" s="136"/>
      <c r="J187" s="69"/>
      <c r="K187" s="69" cm="1">
        <f t="array" ref="K187" xml:space="preserve"> SUMPRODUCT( --( co_scalarInfo[[#This Row],[scalarName]] = scalarDataframe[scalarName] ) )</f>
        <v>7</v>
      </c>
    </row>
    <row r="188" spans="2:20" ht="22.5" x14ac:dyDescent="0.2">
      <c r="B188" s="12">
        <f xml:space="preserve"> ROW( co_scalarInfo[[#This Row],[row_id]] ) - ROW( co_scalarInfo[[#Headers],[row_id]] )</f>
        <v>14</v>
      </c>
      <c r="C188" s="63" t="s">
        <v>991</v>
      </c>
      <c r="D188" s="57" t="s">
        <v>993</v>
      </c>
      <c r="E188" s="135" t="s">
        <v>814</v>
      </c>
      <c r="F188" s="135" t="s">
        <v>785</v>
      </c>
      <c r="G188" s="135" t="s">
        <v>893</v>
      </c>
      <c r="H188" s="137" t="s">
        <v>946</v>
      </c>
      <c r="I188" s="136" t="s">
        <v>910</v>
      </c>
      <c r="J188" s="69"/>
      <c r="K188" s="69" cm="1">
        <f t="array" ref="K188" xml:space="preserve"> SUMPRODUCT( --( co_scalarInfo[[#This Row],[scalarName]] = scalarDataframe[scalarName] ) )</f>
        <v>1</v>
      </c>
    </row>
    <row r="189" spans="2:20" x14ac:dyDescent="0.2">
      <c r="B189" s="12">
        <f xml:space="preserve"> ROW( co_scalarInfo[[#This Row],[row_id]] ) - ROW( co_scalarInfo[[#Headers],[row_id]] )</f>
        <v>15</v>
      </c>
      <c r="C189" s="63" t="s">
        <v>1227</v>
      </c>
      <c r="D189" s="57" t="s">
        <v>1228</v>
      </c>
      <c r="E189" s="135" t="s">
        <v>814</v>
      </c>
      <c r="F189" s="135" t="s">
        <v>785</v>
      </c>
      <c r="G189" s="135" t="s">
        <v>894</v>
      </c>
      <c r="H189" s="137">
        <v>2015</v>
      </c>
      <c r="I189" s="136"/>
      <c r="J189" s="69"/>
      <c r="K189" s="69" cm="1">
        <f t="array" ref="K189" xml:space="preserve"> SUMPRODUCT( --( co_scalarInfo[[#This Row],[scalarName]] = scalarDataframe[scalarName] ) )</f>
        <v>7</v>
      </c>
    </row>
    <row r="190" spans="2:20" x14ac:dyDescent="0.2">
      <c r="B190" s="12">
        <f xml:space="preserve"> ROW( co_scalarInfo[[#This Row],[row_id]] ) - ROW( co_scalarInfo[[#Headers],[row_id]] )</f>
        <v>16</v>
      </c>
      <c r="C190" s="57" t="s">
        <v>786</v>
      </c>
      <c r="D190" s="57" t="s">
        <v>18</v>
      </c>
      <c r="E190" s="135" t="s">
        <v>814</v>
      </c>
      <c r="F190" s="135" t="s">
        <v>785</v>
      </c>
      <c r="G190" s="135" t="s">
        <v>893</v>
      </c>
      <c r="H190" s="135">
        <v>2010</v>
      </c>
      <c r="I190" s="136" t="s">
        <v>910</v>
      </c>
      <c r="J190" s="69"/>
      <c r="K190" s="69" cm="1">
        <f t="array" ref="K190" xml:space="preserve"> SUMPRODUCT( --( co_scalarInfo[[#This Row],[scalarName]] = scalarDataframe[scalarName] ) )</f>
        <v>1</v>
      </c>
    </row>
    <row r="191" spans="2:20" x14ac:dyDescent="0.2">
      <c r="B191" s="12">
        <f xml:space="preserve"> ROW( co_scalarInfo[[#This Row],[row_id]] ) - ROW( co_scalarInfo[[#Headers],[row_id]] )</f>
        <v>17</v>
      </c>
      <c r="C191" s="63" t="s">
        <v>771</v>
      </c>
      <c r="D191" s="57" t="s">
        <v>770</v>
      </c>
      <c r="E191" s="135" t="s">
        <v>814</v>
      </c>
      <c r="F191" s="135" t="s">
        <v>785</v>
      </c>
      <c r="G191" s="135" t="s">
        <v>894</v>
      </c>
      <c r="H191" s="135">
        <v>2015</v>
      </c>
      <c r="I191" s="136" t="s">
        <v>910</v>
      </c>
      <c r="J191" s="69"/>
      <c r="K191" s="69" cm="1">
        <f t="array" ref="K191" xml:space="preserve"> SUMPRODUCT( --( co_scalarInfo[[#This Row],[scalarName]] = scalarDataframe[scalarName] ) )</f>
        <v>7</v>
      </c>
    </row>
    <row r="192" spans="2:20" x14ac:dyDescent="0.2">
      <c r="B192" s="12">
        <f xml:space="preserve"> ROW( co_scalarInfo[[#This Row],[row_id]] ) - ROW( co_scalarInfo[[#Headers],[row_id]] )</f>
        <v>18</v>
      </c>
      <c r="C192" s="63" t="s">
        <v>258</v>
      </c>
      <c r="D192" s="57" t="s">
        <v>793</v>
      </c>
      <c r="E192" s="135" t="s">
        <v>834</v>
      </c>
      <c r="F192" s="135" t="s">
        <v>895</v>
      </c>
      <c r="G192" s="135" t="s">
        <v>894</v>
      </c>
      <c r="H192" s="137" t="s">
        <v>946</v>
      </c>
      <c r="I192" s="136" t="s">
        <v>910</v>
      </c>
      <c r="J192" s="69"/>
      <c r="K192" s="69" cm="1">
        <f t="array" ref="K192" xml:space="preserve"> SUMPRODUCT( --( co_scalarInfo[[#This Row],[scalarName]] = scalarDataframe[scalarName] ) )</f>
        <v>42</v>
      </c>
    </row>
    <row r="193" spans="1:21" x14ac:dyDescent="0.2">
      <c r="B193" s="12">
        <f xml:space="preserve"> ROW( co_scalarInfo[[#This Row],[row_id]] ) - ROW( co_scalarInfo[[#Headers],[row_id]] )</f>
        <v>19</v>
      </c>
      <c r="C193" s="63" t="s">
        <v>256</v>
      </c>
      <c r="D193" s="57" t="s">
        <v>915</v>
      </c>
      <c r="E193" s="135" t="s">
        <v>834</v>
      </c>
      <c r="F193" s="135" t="s">
        <v>785</v>
      </c>
      <c r="G193" s="135" t="s">
        <v>893</v>
      </c>
      <c r="H193" s="135" t="s">
        <v>201</v>
      </c>
      <c r="I193" s="136" t="s">
        <v>912</v>
      </c>
      <c r="J193" s="69" t="s">
        <v>916</v>
      </c>
      <c r="K193" s="69" cm="1">
        <f t="array" ref="K193" xml:space="preserve"> SUMPRODUCT( --( co_scalarInfo[[#This Row],[scalarName]] = scalarDataframe[scalarName] ) )</f>
        <v>0</v>
      </c>
    </row>
    <row r="194" spans="1:21" x14ac:dyDescent="0.2">
      <c r="B194" s="12">
        <f xml:space="preserve"> ROW( co_scalarInfo[[#This Row],[row_id]] ) - ROW( co_scalarInfo[[#Headers],[row_id]] )</f>
        <v>20</v>
      </c>
      <c r="C194" s="63" t="s">
        <v>259</v>
      </c>
      <c r="D194" s="57" t="s">
        <v>795</v>
      </c>
      <c r="E194" s="135" t="s">
        <v>834</v>
      </c>
      <c r="F194" s="135" t="s">
        <v>895</v>
      </c>
      <c r="G194" s="135" t="s">
        <v>894</v>
      </c>
      <c r="H194" s="137" t="s">
        <v>946</v>
      </c>
      <c r="I194" s="136" t="s">
        <v>910</v>
      </c>
      <c r="J194" s="69"/>
      <c r="K194" s="69" cm="1">
        <f t="array" ref="K194" xml:space="preserve"> SUMPRODUCT( --( co_scalarInfo[[#This Row],[scalarName]] = scalarDataframe[scalarName] ) )</f>
        <v>140</v>
      </c>
    </row>
    <row r="195" spans="1:21" ht="22.5" x14ac:dyDescent="0.2">
      <c r="B195" s="12">
        <f xml:space="preserve"> ROW( co_scalarInfo[[#This Row],[row_id]] ) - ROW( co_scalarInfo[[#Headers],[row_id]] )</f>
        <v>21</v>
      </c>
      <c r="C195" s="63" t="s">
        <v>1011</v>
      </c>
      <c r="D195" s="57" t="s">
        <v>986</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2.5" x14ac:dyDescent="0.2">
      <c r="B196" s="12">
        <f xml:space="preserve"> ROW( co_scalarInfo[[#This Row],[row_id]] ) - ROW( co_scalarInfo[[#Headers],[row_id]] )</f>
        <v>22</v>
      </c>
      <c r="C196" s="63" t="s">
        <v>988</v>
      </c>
      <c r="D196" s="57" t="s">
        <v>985</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ht="22.5" x14ac:dyDescent="0.2">
      <c r="B197" s="12">
        <f xml:space="preserve"> ROW( co_scalarInfo[[#This Row],[row_id]] ) - ROW( co_scalarInfo[[#Headers],[row_id]] )</f>
        <v>23</v>
      </c>
      <c r="C197" s="63" t="s">
        <v>989</v>
      </c>
      <c r="D197" s="57" t="s">
        <v>987</v>
      </c>
      <c r="E197" s="135" t="s">
        <v>834</v>
      </c>
      <c r="F197" s="135" t="s">
        <v>785</v>
      </c>
      <c r="G197" s="135" t="s">
        <v>893</v>
      </c>
      <c r="H197" s="137" t="s">
        <v>946</v>
      </c>
      <c r="I197" s="136" t="s">
        <v>910</v>
      </c>
      <c r="J197" s="69"/>
      <c r="K197" s="69" cm="1">
        <f t="array" ref="K197" xml:space="preserve"> SUMPRODUCT( --( co_scalarInfo[[#This Row],[scalarName]] = scalarDataframe[scalarName] ) )</f>
        <v>1</v>
      </c>
    </row>
    <row r="198" spans="1:21" x14ac:dyDescent="0.2">
      <c r="B198" s="12">
        <f xml:space="preserve"> ROW( co_scalarInfo[[#This Row],[row_id]] ) - ROW( co_scalarInfo[[#Headers],[row_id]] )</f>
        <v>24</v>
      </c>
      <c r="C198" s="63" t="s">
        <v>1009</v>
      </c>
      <c r="D198" s="57" t="s">
        <v>1008</v>
      </c>
      <c r="E198" s="135" t="s">
        <v>816</v>
      </c>
      <c r="F198" s="135" t="s">
        <v>895</v>
      </c>
      <c r="G198" s="135" t="s">
        <v>894</v>
      </c>
      <c r="H198" s="137" t="s">
        <v>946</v>
      </c>
      <c r="I198" s="136" t="s">
        <v>910</v>
      </c>
      <c r="J198" s="69"/>
      <c r="K198" s="69" cm="1">
        <f t="array" ref="K198" xml:space="preserve"> SUMPRODUCT( --( co_scalarInfo[[#This Row],[scalarName]] = scalarDataframe[scalarName] ) )</f>
        <v>136</v>
      </c>
    </row>
    <row r="199" spans="1:21" x14ac:dyDescent="0.2">
      <c r="B199" s="12">
        <f xml:space="preserve"> ROW( co_scalarInfo[[#This Row],[row_id]] ) - ROW( co_scalarInfo[[#Headers],[row_id]] )</f>
        <v>25</v>
      </c>
      <c r="C199" s="63" t="s">
        <v>759</v>
      </c>
      <c r="D199" s="57" t="s">
        <v>758</v>
      </c>
      <c r="E199" s="135" t="s">
        <v>816</v>
      </c>
      <c r="F199" s="135" t="s">
        <v>895</v>
      </c>
      <c r="G199" s="135" t="s">
        <v>894</v>
      </c>
      <c r="H199" s="137" t="s">
        <v>946</v>
      </c>
      <c r="I199" s="136" t="s">
        <v>910</v>
      </c>
      <c r="J199" s="69"/>
      <c r="K199" s="69" cm="1">
        <f t="array" ref="K199" xml:space="preserve"> SUMPRODUCT( --( co_scalarInfo[[#This Row],[scalarName]] = scalarDataframe[scalarName] ) )</f>
        <v>119</v>
      </c>
    </row>
    <row r="200" spans="1:21" x14ac:dyDescent="0.2">
      <c r="B200" s="12">
        <f xml:space="preserve"> ROW( co_scalarInfo[[#This Row],[row_id]] ) - ROW( co_scalarInfo[[#Headers],[row_id]] )</f>
        <v>26</v>
      </c>
      <c r="C200" s="63" t="s">
        <v>256</v>
      </c>
      <c r="D200" s="57" t="s">
        <v>915</v>
      </c>
      <c r="E200" s="135" t="s">
        <v>816</v>
      </c>
      <c r="F200" s="135" t="s">
        <v>785</v>
      </c>
      <c r="G200" s="135" t="s">
        <v>893</v>
      </c>
      <c r="H200" s="135" t="s">
        <v>201</v>
      </c>
      <c r="I200" s="136" t="s">
        <v>912</v>
      </c>
      <c r="J200" s="69" t="s">
        <v>916</v>
      </c>
      <c r="K200" s="69" cm="1">
        <f t="array" ref="K200" xml:space="preserve"> SUMPRODUCT( --( co_scalarInfo[[#This Row],[scalarName]] = scalarDataframe[scalarName] ) )</f>
        <v>0</v>
      </c>
    </row>
    <row r="201" spans="1:21" x14ac:dyDescent="0.2">
      <c r="B201" s="12">
        <f xml:space="preserve"> ROW( co_scalarInfo[[#This Row],[row_id]] ) - ROW( co_scalarInfo[[#Headers],[row_id]] )</f>
        <v>27</v>
      </c>
      <c r="C201" s="63" t="s">
        <v>236</v>
      </c>
      <c r="D201" s="57" t="s">
        <v>215</v>
      </c>
      <c r="E201" s="135" t="s">
        <v>816</v>
      </c>
      <c r="F201" s="135" t="s">
        <v>785</v>
      </c>
      <c r="G201" s="135" t="s">
        <v>894</v>
      </c>
      <c r="H201" s="137" t="s">
        <v>946</v>
      </c>
      <c r="I201" s="136" t="s">
        <v>910</v>
      </c>
      <c r="J201" s="69"/>
      <c r="K201" s="69" cm="1">
        <f t="array" ref="K201" xml:space="preserve"> SUMPRODUCT( --( co_scalarInfo[[#This Row],[scalarName]] = scalarDataframe[scalarName] ) )</f>
        <v>8</v>
      </c>
    </row>
    <row r="202" spans="1:21" x14ac:dyDescent="0.2">
      <c r="B202" s="12">
        <f xml:space="preserve"> ROW( co_scalarInfo[[#This Row],[row_id]] ) - ROW( co_scalarInfo[[#Headers],[row_id]] )</f>
        <v>28</v>
      </c>
      <c r="C202" s="63" t="s">
        <v>251</v>
      </c>
      <c r="D202" s="57" t="s">
        <v>211</v>
      </c>
      <c r="E202" s="135" t="s">
        <v>816</v>
      </c>
      <c r="F202" s="135" t="s">
        <v>895</v>
      </c>
      <c r="G202" s="135" t="s">
        <v>894</v>
      </c>
      <c r="H202" s="137" t="s">
        <v>946</v>
      </c>
      <c r="I202" s="136" t="s">
        <v>911</v>
      </c>
      <c r="J202" s="69"/>
      <c r="K202" s="69" cm="1">
        <f t="array" ref="K202" xml:space="preserve"> SUMPRODUCT( --( co_scalarInfo[[#This Row],[scalarName]] = scalarDataframe[scalarName] ) )</f>
        <v>0</v>
      </c>
    </row>
    <row r="203" spans="1:21" x14ac:dyDescent="0.2">
      <c r="B203" s="12">
        <f xml:space="preserve"> ROW( co_scalarInfo[[#This Row],[row_id]] ) - ROW( co_scalarInfo[[#Headers],[row_id]] )</f>
        <v>29</v>
      </c>
      <c r="C203" s="63" t="s">
        <v>250</v>
      </c>
      <c r="D203" s="57" t="s">
        <v>797</v>
      </c>
      <c r="E203" s="135" t="s">
        <v>816</v>
      </c>
      <c r="F203" s="135" t="s">
        <v>785</v>
      </c>
      <c r="G203" s="135" t="s">
        <v>894</v>
      </c>
      <c r="H203" s="137" t="s">
        <v>946</v>
      </c>
      <c r="I203" s="136" t="s">
        <v>910</v>
      </c>
      <c r="J203" s="69"/>
      <c r="K203" s="69" cm="1">
        <f t="array" ref="K203" xml:space="preserve"> SUMPRODUCT( --( co_scalarInfo[[#This Row],[scalarName]] = scalarDataframe[scalarName] ) )</f>
        <v>7</v>
      </c>
    </row>
    <row r="204" spans="1:21" ht="22.5" x14ac:dyDescent="0.2">
      <c r="B204" s="12">
        <f xml:space="preserve"> ROW( co_scalarInfo[[#This Row],[row_id]] ) - ROW( co_scalarInfo[[#Headers],[row_id]] )</f>
        <v>30</v>
      </c>
      <c r="C204" s="63" t="s">
        <v>1315</v>
      </c>
      <c r="D204" s="57" t="s">
        <v>1316</v>
      </c>
      <c r="E204" s="135" t="s">
        <v>815</v>
      </c>
      <c r="F204" s="135" t="s">
        <v>895</v>
      </c>
      <c r="G204" s="135" t="s">
        <v>894</v>
      </c>
      <c r="H204" s="137" t="s">
        <v>946</v>
      </c>
      <c r="I204" s="136"/>
      <c r="J204" s="69"/>
      <c r="K204" s="69" cm="1">
        <f t="array" ref="K204" xml:space="preserve"> SUMPRODUCT( --( co_scalarInfo[[#This Row],[scalarName]] = scalarDataframe[scalarName] ) )</f>
        <v>196</v>
      </c>
    </row>
    <row r="205" spans="1:21" ht="33.75" x14ac:dyDescent="0.2">
      <c r="B205" s="12">
        <f xml:space="preserve"> ROW( co_scalarInfo[[#This Row],[row_id]] ) - ROW( co_scalarInfo[[#Headers],[row_id]] )</f>
        <v>31</v>
      </c>
      <c r="C205" s="63" t="s">
        <v>1317</v>
      </c>
      <c r="D205" s="57" t="s">
        <v>1318</v>
      </c>
      <c r="E205" s="135" t="s">
        <v>834</v>
      </c>
      <c r="F205" s="135" t="s">
        <v>895</v>
      </c>
      <c r="G205" s="135" t="s">
        <v>894</v>
      </c>
      <c r="H205" s="137" t="s">
        <v>946</v>
      </c>
      <c r="I205" s="136"/>
      <c r="J205" s="69"/>
      <c r="K205" s="69" cm="1">
        <f t="array" ref="K205" xml:space="preserve"> SUMPRODUCT( --( co_scalarInfo[[#This Row],[scalarName]] = scalarDataframe[scalarName] ) )</f>
        <v>196</v>
      </c>
    </row>
    <row r="208" spans="1:21" ht="15" x14ac:dyDescent="0.25">
      <c r="A208" s="47"/>
      <c r="B208" s="48" t="s">
        <v>1029</v>
      </c>
      <c r="C208" s="48"/>
      <c r="D208" s="48"/>
      <c r="E208" s="48"/>
      <c r="F208" s="48"/>
      <c r="G208" s="48"/>
      <c r="H208" s="48"/>
      <c r="I208" s="48"/>
      <c r="J208" s="48"/>
      <c r="K208" s="48"/>
      <c r="L208" s="48"/>
      <c r="M208" s="48"/>
      <c r="N208" s="48"/>
      <c r="O208" s="48"/>
      <c r="P208" s="48"/>
      <c r="Q208" s="48"/>
      <c r="R208" s="48"/>
      <c r="S208" s="48"/>
      <c r="T208" s="48"/>
      <c r="U208" s="48"/>
    </row>
    <row r="210" spans="1:21" x14ac:dyDescent="0.2">
      <c r="B210" s="60" t="s">
        <v>780</v>
      </c>
      <c r="C210" s="60" t="s">
        <v>917</v>
      </c>
      <c r="D210" s="60" t="s">
        <v>944</v>
      </c>
      <c r="E210" s="61" t="s">
        <v>817</v>
      </c>
    </row>
    <row r="211" spans="1:21" x14ac:dyDescent="0.2">
      <c r="B211" s="7">
        <f xml:space="preserve"> ROW( co_econMultipliers[[#This Row],[row_id]] ) - ROW( co_econMultipliers[[#Headers],[row_id]] )</f>
        <v>1</v>
      </c>
      <c r="C211" s="14" t="s">
        <v>904</v>
      </c>
      <c r="D211" s="79" t="s">
        <v>913</v>
      </c>
      <c r="E211" s="80">
        <v>2015</v>
      </c>
    </row>
    <row r="212" spans="1:21" x14ac:dyDescent="0.2">
      <c r="B212" s="7">
        <f xml:space="preserve"> ROW( co_econMultipliers[[#This Row],[row_id]] ) - ROW( co_econMultipliers[[#Headers],[row_id]] )</f>
        <v>2</v>
      </c>
      <c r="C212" s="14" t="s">
        <v>257</v>
      </c>
      <c r="D212" s="79" t="s">
        <v>914</v>
      </c>
      <c r="E212" s="80" t="s">
        <v>201</v>
      </c>
    </row>
    <row r="213" spans="1:21" x14ac:dyDescent="0.2">
      <c r="B213" s="7">
        <f xml:space="preserve"> ROW( co_econMultipliers[[#This Row],[row_id]] ) - ROW( co_econMultipliers[[#Headers],[row_id]] )</f>
        <v>3</v>
      </c>
      <c r="C213" s="14" t="s">
        <v>256</v>
      </c>
      <c r="D213" s="79" t="s">
        <v>915</v>
      </c>
      <c r="E213" s="80" t="s">
        <v>201</v>
      </c>
    </row>
    <row r="216" spans="1:21" ht="15" x14ac:dyDescent="0.25">
      <c r="A216" s="47"/>
      <c r="B216" s="48" t="s">
        <v>1030</v>
      </c>
      <c r="C216" s="48"/>
      <c r="D216" s="48"/>
      <c r="E216" s="48"/>
      <c r="F216" s="48"/>
      <c r="G216" s="48"/>
      <c r="H216" s="48"/>
      <c r="I216" s="48"/>
      <c r="J216" s="48"/>
      <c r="K216" s="48"/>
      <c r="L216" s="48"/>
      <c r="M216" s="48"/>
      <c r="N216" s="48"/>
      <c r="O216" s="48"/>
      <c r="P216" s="48"/>
      <c r="Q216" s="48"/>
      <c r="R216" s="48"/>
      <c r="S216" s="48"/>
      <c r="T216" s="48"/>
      <c r="U216" s="48"/>
    </row>
    <row r="218" spans="1:21" x14ac:dyDescent="0.2">
      <c r="B218" s="60" t="s">
        <v>780</v>
      </c>
      <c r="C218" s="60" t="s">
        <v>785</v>
      </c>
      <c r="D218" s="60" t="s">
        <v>255</v>
      </c>
    </row>
    <row r="219" spans="1:21" x14ac:dyDescent="0.2">
      <c r="B219" s="7">
        <f xml:space="preserve"> ROW( co_constants[[#This Row],[row_id]] ) - ROW( co_constants[[#Headers],[row_id]] )</f>
        <v>1</v>
      </c>
      <c r="C219" s="14" t="s">
        <v>782</v>
      </c>
      <c r="D219" s="79">
        <f xml:space="preserve"> 10^9</f>
        <v>1000000000</v>
      </c>
    </row>
    <row r="220" spans="1:21" x14ac:dyDescent="0.2">
      <c r="B220" s="7">
        <f xml:space="preserve"> ROW( co_constants[[#This Row],[row_id]] ) - ROW( co_constants[[#Headers],[row_id]] )</f>
        <v>2</v>
      </c>
      <c r="C220" s="14" t="s">
        <v>783</v>
      </c>
      <c r="D220" s="79">
        <f xml:space="preserve"> 10^6</f>
        <v>1000000</v>
      </c>
    </row>
    <row r="221" spans="1:21" x14ac:dyDescent="0.2">
      <c r="B221" s="7">
        <f xml:space="preserve"> ROW( co_constants[[#This Row],[row_id]] ) - ROW( co_constants[[#Headers],[row_id]] )</f>
        <v>3</v>
      </c>
      <c r="C221" s="14" t="s">
        <v>784</v>
      </c>
      <c r="D221" s="79">
        <v>1000</v>
      </c>
    </row>
    <row r="224" spans="1:21" ht="15" x14ac:dyDescent="0.25">
      <c r="A224" s="47"/>
      <c r="B224" s="48" t="s">
        <v>1027</v>
      </c>
      <c r="C224" s="48"/>
      <c r="D224" s="48"/>
      <c r="E224" s="48"/>
      <c r="F224" s="48"/>
      <c r="G224" s="48"/>
      <c r="H224" s="48"/>
      <c r="I224" s="48"/>
      <c r="J224" s="48"/>
      <c r="K224" s="48"/>
      <c r="L224" s="48"/>
      <c r="M224" s="48"/>
      <c r="N224" s="48"/>
      <c r="O224" s="48"/>
      <c r="P224" s="48"/>
      <c r="Q224" s="48"/>
      <c r="R224" s="48"/>
      <c r="S224" s="48"/>
      <c r="T224" s="48"/>
      <c r="U224" s="48"/>
    </row>
    <row r="226" spans="1:21" x14ac:dyDescent="0.2">
      <c r="B226" s="72" t="s">
        <v>780</v>
      </c>
      <c r="C226" s="72" t="s">
        <v>959</v>
      </c>
      <c r="D226" s="72" t="s">
        <v>960</v>
      </c>
      <c r="E226" s="73" t="s">
        <v>966</v>
      </c>
      <c r="F226" s="73" t="s">
        <v>968</v>
      </c>
      <c r="G226" s="74" t="s">
        <v>964</v>
      </c>
      <c r="H226" s="74" t="s">
        <v>965</v>
      </c>
      <c r="I226" s="70" t="s">
        <v>973</v>
      </c>
      <c r="J226" s="70" t="s">
        <v>979</v>
      </c>
      <c r="K226" s="70" t="s">
        <v>980</v>
      </c>
      <c r="L226" s="70" t="s">
        <v>974</v>
      </c>
      <c r="M226" s="71" t="s">
        <v>978</v>
      </c>
      <c r="N226" s="71" t="s">
        <v>977</v>
      </c>
    </row>
    <row r="227" spans="1:21" x14ac:dyDescent="0.2">
      <c r="B227" s="7">
        <f xml:space="preserve"> ROW( co_modelTypes[[#This Row],[row_id]] ) - ROW( co_modelTypes[[#Headers],[row_id]] )</f>
        <v>1</v>
      </c>
      <c r="C227" s="14" t="s">
        <v>819</v>
      </c>
      <c r="D227" s="14" t="s">
        <v>958</v>
      </c>
      <c r="E227" s="75" t="s">
        <v>967</v>
      </c>
      <c r="F227" s="75" t="s">
        <v>962</v>
      </c>
      <c r="G227" s="76" t="s">
        <v>956</v>
      </c>
      <c r="H227" s="76" t="s">
        <v>957</v>
      </c>
      <c r="I227" s="77">
        <v>1995</v>
      </c>
      <c r="J227" s="77">
        <v>6</v>
      </c>
      <c r="K227" s="77">
        <v>30</v>
      </c>
      <c r="L227" s="77">
        <v>1</v>
      </c>
      <c r="M227" s="32">
        <v>7</v>
      </c>
      <c r="N227" s="32" cm="1">
        <f t="array" ref="N227" xml:space="preserve"> SUMPRODUCT( --( co_models[modelType] = co_modelTypes[[#This Row],[modelType_id]] ) )</f>
        <v>8</v>
      </c>
    </row>
    <row r="228" spans="1:21" x14ac:dyDescent="0.2">
      <c r="B228" s="7">
        <f xml:space="preserve"> ROW( co_modelTypes[[#This Row],[row_id]] ) - ROW( co_modelTypes[[#Headers],[row_id]] )</f>
        <v>2</v>
      </c>
      <c r="C228" s="14" t="s">
        <v>818</v>
      </c>
      <c r="D228" s="14" t="s">
        <v>961</v>
      </c>
      <c r="E228" s="75" t="s">
        <v>963</v>
      </c>
      <c r="F228" s="75" t="s">
        <v>963</v>
      </c>
      <c r="G228" s="76" t="s">
        <v>818</v>
      </c>
      <c r="H228" s="76" t="s">
        <v>1062</v>
      </c>
      <c r="I228" s="77">
        <v>2000</v>
      </c>
      <c r="J228" s="77">
        <v>250</v>
      </c>
      <c r="K228" s="77">
        <v>1000</v>
      </c>
      <c r="L228" s="77">
        <v>25</v>
      </c>
      <c r="M228" s="32">
        <v>6</v>
      </c>
      <c r="N228" s="32" cm="1">
        <f t="array" ref="N228" xml:space="preserve"> SUMPRODUCT( --( co_models[modelType] = co_modelTypes[[#This Row],[modelType_id]] ) )</f>
        <v>6</v>
      </c>
    </row>
    <row r="231" spans="1:21" ht="15" x14ac:dyDescent="0.25">
      <c r="A231" s="47"/>
      <c r="B231" s="48" t="s">
        <v>1035</v>
      </c>
      <c r="C231" s="48"/>
      <c r="D231" s="48"/>
      <c r="E231" s="48"/>
      <c r="F231" s="48"/>
      <c r="G231" s="48"/>
      <c r="H231" s="48"/>
      <c r="I231" s="48"/>
      <c r="J231" s="48"/>
      <c r="K231" s="48"/>
      <c r="L231" s="48"/>
      <c r="M231" s="48"/>
      <c r="N231" s="48"/>
      <c r="O231" s="48"/>
      <c r="P231" s="48"/>
      <c r="Q231" s="48"/>
      <c r="R231" s="48"/>
      <c r="S231" s="48"/>
      <c r="T231" s="48"/>
      <c r="U231" s="48"/>
    </row>
    <row r="233" spans="1:21" x14ac:dyDescent="0.2">
      <c r="B233" s="78" t="s">
        <v>780</v>
      </c>
      <c r="C233" s="60" t="s">
        <v>905</v>
      </c>
      <c r="D233" s="60" t="s">
        <v>890</v>
      </c>
      <c r="E233" s="60" t="s">
        <v>906</v>
      </c>
      <c r="F233" s="61" t="s">
        <v>907</v>
      </c>
      <c r="G233" s="61" t="s">
        <v>955</v>
      </c>
    </row>
    <row r="234" spans="1:21" x14ac:dyDescent="0.2">
      <c r="B234" s="7">
        <f xml:space="preserve"> ROW( co_models[[#This Row],[row_id]] ) - ROW( co_models[[#Headers],[row_id]] )</f>
        <v>1</v>
      </c>
      <c r="C234" s="79" t="s">
        <v>0</v>
      </c>
      <c r="D234" s="79" t="s">
        <v>819</v>
      </c>
      <c r="E234" s="60" t="str">
        <f xml:space="preserve"> IF( co_models[[#This Row],[modelType]] = "gcm", SUBSTITUTE( SUBSTITUTE( co_models[[#This Row],[model_id]], " ", "." ), "-", "." ),
         VALUE( SUBSTITUTE( co_models[[#This Row],[model_id]], "p", "." ) ) * 100 &amp; "cm" )</f>
        <v>CanESM2</v>
      </c>
      <c r="F234" s="61" t="str">
        <f xml:space="preserve"> SUBSTITUTE( co_models[[#This Row],[model_dot]], ".", "_" )</f>
        <v>CanESM2</v>
      </c>
      <c r="G234" s="61" t="str">
        <f xml:space="preserve"> IF( co_models[[#This Row],[modelType]] = "gcm", co_models[[#This Row],[model_id]], SUBSTITUTE( co_models[[#This Row],[model_dot]], "cm", " cm" ) )</f>
        <v>CanESM2</v>
      </c>
    </row>
    <row r="235" spans="1:21" x14ac:dyDescent="0.2">
      <c r="B235" s="7">
        <f xml:space="preserve"> ROW( co_models[[#This Row],[row_id]] ) - ROW( co_models[[#Headers],[row_id]] )</f>
        <v>2</v>
      </c>
      <c r="C235" s="79" t="s">
        <v>1</v>
      </c>
      <c r="D235" s="79" t="s">
        <v>819</v>
      </c>
      <c r="E235" s="60" t="str">
        <f xml:space="preserve"> IF( co_models[[#This Row],[modelType]] = "gcm", SUBSTITUTE( SUBSTITUTE( co_models[[#This Row],[model_id]], " ", "." ), "-", "." ),
         VALUE( SUBSTITUTE( co_models[[#This Row],[model_id]], "p", "." ) ) * 100 &amp; "cm" )</f>
        <v>CCSM4</v>
      </c>
      <c r="F235" s="61" t="str">
        <f xml:space="preserve"> SUBSTITUTE( co_models[[#This Row],[model_dot]], ".", "_" )</f>
        <v>CCSM4</v>
      </c>
      <c r="G235" s="61" t="str">
        <f xml:space="preserve"> IF( co_models[[#This Row],[modelType]] = "gcm", co_models[[#This Row],[model_id]], SUBSTITUTE( co_models[[#This Row],[model_dot]], "cm", " cm" ) )</f>
        <v>CCSM4</v>
      </c>
    </row>
    <row r="236" spans="1:21" x14ac:dyDescent="0.2">
      <c r="B236" s="7">
        <f xml:space="preserve"> ROW( co_models[[#This Row],[row_id]] ) - ROW( co_models[[#Headers],[row_id]] )</f>
        <v>3</v>
      </c>
      <c r="C236" s="79" t="s">
        <v>2</v>
      </c>
      <c r="D236" s="79" t="s">
        <v>819</v>
      </c>
      <c r="E236" s="60" t="str">
        <f xml:space="preserve"> IF( co_models[[#This Row],[modelType]] = "gcm", SUBSTITUTE( SUBSTITUTE( co_models[[#This Row],[model_id]], " ", "." ), "-", "." ),
         VALUE( SUBSTITUTE( co_models[[#This Row],[model_id]], "p", "." ) ) * 100 &amp; "cm" )</f>
        <v>GISS.E2.R</v>
      </c>
      <c r="F236" s="61" t="str">
        <f xml:space="preserve"> SUBSTITUTE( co_models[[#This Row],[model_dot]], ".", "_" )</f>
        <v>GISS_E2_R</v>
      </c>
      <c r="G236" s="61" t="str">
        <f xml:space="preserve"> IF( co_models[[#This Row],[modelType]] = "gcm", co_models[[#This Row],[model_id]], SUBSTITUTE( co_models[[#This Row],[model_dot]], "cm", " cm" ) )</f>
        <v>GISS-E2-R</v>
      </c>
    </row>
    <row r="237" spans="1:21" x14ac:dyDescent="0.2">
      <c r="B237" s="7">
        <f xml:space="preserve"> ROW( co_models[[#This Row],[row_id]] ) - ROW( co_models[[#Headers],[row_id]] )</f>
        <v>4</v>
      </c>
      <c r="C237" s="79" t="s">
        <v>3</v>
      </c>
      <c r="D237" s="79" t="s">
        <v>819</v>
      </c>
      <c r="E237" s="60" t="str">
        <f xml:space="preserve"> IF( co_models[[#This Row],[modelType]] = "gcm", SUBSTITUTE( SUBSTITUTE( co_models[[#This Row],[model_id]], " ", "." ), "-", "." ),
         VALUE( SUBSTITUTE( co_models[[#This Row],[model_id]], "p", "." ) ) * 100 &amp; "cm" )</f>
        <v>HadGEM2.ES</v>
      </c>
      <c r="F237" s="61" t="str">
        <f xml:space="preserve"> SUBSTITUTE( co_models[[#This Row],[model_dot]], ".", "_" )</f>
        <v>HadGEM2_ES</v>
      </c>
      <c r="G237" s="61" t="str">
        <f xml:space="preserve"> IF( co_models[[#This Row],[modelType]] = "gcm", co_models[[#This Row],[model_id]], SUBSTITUTE( co_models[[#This Row],[model_dot]], "cm", " cm" ) )</f>
        <v>HadGEM2-ES</v>
      </c>
    </row>
    <row r="238" spans="1:21" x14ac:dyDescent="0.2">
      <c r="B238" s="7">
        <f xml:space="preserve"> ROW( co_models[[#This Row],[row_id]] ) - ROW( co_models[[#Headers],[row_id]] )</f>
        <v>5</v>
      </c>
      <c r="C238" s="79" t="s">
        <v>4</v>
      </c>
      <c r="D238" s="79" t="s">
        <v>819</v>
      </c>
      <c r="E238" s="60" t="str">
        <f xml:space="preserve"> IF( co_models[[#This Row],[modelType]] = "gcm", SUBSTITUTE( SUBSTITUTE( co_models[[#This Row],[model_id]], " ", "." ), "-", "." ),
         VALUE( SUBSTITUTE( co_models[[#This Row],[model_id]], "p", "." ) ) * 100 &amp; "cm" )</f>
        <v>MIROC5</v>
      </c>
      <c r="F238" s="61" t="str">
        <f xml:space="preserve"> SUBSTITUTE( co_models[[#This Row],[model_dot]], ".", "_" )</f>
        <v>MIROC5</v>
      </c>
      <c r="G238" s="61" t="str">
        <f xml:space="preserve"> IF( co_models[[#This Row],[modelType]] = "gcm", co_models[[#This Row],[model_id]], SUBSTITUTE( co_models[[#This Row],[model_dot]], "cm", " cm" ) )</f>
        <v>MIROC5</v>
      </c>
    </row>
    <row r="239" spans="1:21" x14ac:dyDescent="0.2">
      <c r="B239" s="7">
        <f xml:space="preserve"> ROW( co_models[[#This Row],[row_id]] ) - ROW( co_models[[#Headers],[row_id]] )</f>
        <v>6</v>
      </c>
      <c r="C239" s="79" t="s">
        <v>5</v>
      </c>
      <c r="D239" s="79" t="s">
        <v>819</v>
      </c>
      <c r="E239" s="60" t="str">
        <f xml:space="preserve"> IF( co_models[[#This Row],[modelType]] = "gcm", SUBSTITUTE( SUBSTITUTE( co_models[[#This Row],[model_id]], " ", "." ), "-", "." ),
         VALUE( SUBSTITUTE( co_models[[#This Row],[model_id]], "p", "." ) ) * 100 &amp; "cm" )</f>
        <v>GFDL.CM3</v>
      </c>
      <c r="F239" s="61" t="str">
        <f xml:space="preserve"> SUBSTITUTE( co_models[[#This Row],[model_dot]], ".", "_" )</f>
        <v>GFDL_CM3</v>
      </c>
      <c r="G239" s="61" t="str">
        <f xml:space="preserve"> IF( co_models[[#This Row],[modelType]] = "gcm", co_models[[#This Row],[model_id]], SUBSTITUTE( co_models[[#This Row],[model_dot]], "cm", " cm" ) )</f>
        <v>GFDL-CM3</v>
      </c>
    </row>
    <row r="240" spans="1:21" x14ac:dyDescent="0.2">
      <c r="B240" s="7">
        <f xml:space="preserve"> ROW( co_models[[#This Row],[row_id]] ) - ROW( co_models[[#Headers],[row_id]] )</f>
        <v>7</v>
      </c>
      <c r="C240" s="79" t="s">
        <v>1089</v>
      </c>
      <c r="D240" s="79" t="s">
        <v>819</v>
      </c>
      <c r="E240" s="60" t="str">
        <f xml:space="preserve"> IF( co_models[[#This Row],[modelType]] = "gcm", SUBSTITUTE( SUBSTITUTE( co_models[[#This Row],[model_id]], " ", "." ), "-", "." ),
         VALUE( SUBSTITUTE( co_models[[#This Row],[model_id]], "p", "." ) ) * 100 &amp; "cm" )</f>
        <v>MRI.CGCM3</v>
      </c>
      <c r="F240" s="61" t="str">
        <f xml:space="preserve"> SUBSTITUTE( co_models[[#This Row],[model_dot]], ".", "_" )</f>
        <v>MRI_CGCM3</v>
      </c>
      <c r="G240" s="61" t="str">
        <f xml:space="preserve"> IF( co_models[[#This Row],[modelType]] = "gcm", co_models[[#This Row],[model_id]], SUBSTITUTE( co_models[[#This Row],[model_dot]], "cm", " cm" ) )</f>
        <v>MRI-CGCM3</v>
      </c>
    </row>
    <row r="241" spans="1:21" x14ac:dyDescent="0.2">
      <c r="B241" s="7">
        <f xml:space="preserve"> ROW( co_models[[#This Row],[row_id]] ) - ROW( co_models[[#Headers],[row_id]] )</f>
        <v>8</v>
      </c>
      <c r="C241" s="79" t="s">
        <v>1087</v>
      </c>
      <c r="D241" s="79" t="s">
        <v>819</v>
      </c>
      <c r="E241" s="60" t="str">
        <f xml:space="preserve"> IF( co_models[[#This Row],[modelType]] = "gcm", SUBSTITUTE( SUBSTITUTE( co_models[[#This Row],[model_id]], " ", "." ), "-", "." ),
         VALUE( SUBSTITUTE( co_models[[#This Row],[model_id]], "p", "." ) ) * 100 &amp; "cm" )</f>
        <v>GCM.Ensemble</v>
      </c>
      <c r="F241" s="61" t="str">
        <f xml:space="preserve"> SUBSTITUTE( co_models[[#This Row],[model_dot]], ".", "_" )</f>
        <v>GCM_Ensemble</v>
      </c>
      <c r="G241" s="61" t="str">
        <f xml:space="preserve"> IF( co_models[[#This Row],[modelType]] = "gcm", co_models[[#This Row],[model_id]], SUBSTITUTE( co_models[[#This Row],[model_dot]], "cm", " cm" ) )</f>
        <v>GCM Ensemble</v>
      </c>
    </row>
    <row r="242" spans="1:21" x14ac:dyDescent="0.2">
      <c r="B242" s="7">
        <f xml:space="preserve"> ROW( co_models[[#This Row],[row_id]] ) - ROW( co_models[[#Headers],[row_id]] )</f>
        <v>9</v>
      </c>
      <c r="C242" s="79" t="s">
        <v>948</v>
      </c>
      <c r="D242" s="79" t="s">
        <v>818</v>
      </c>
      <c r="E242" s="61" t="str">
        <f xml:space="preserve"> IF( co_models[[#This Row],[modelType]] = "gcm", SUBSTITUTE( SUBSTITUTE( co_models[[#This Row],[model_id]], " ", "." ), "-", "." ),
         VALUE( SUBSTITUTE( co_models[[#This Row],[model_id]], "p", "." ) ) * 100 &amp; "cm" )</f>
        <v>30cm</v>
      </c>
      <c r="F242" s="61" t="str">
        <f xml:space="preserve"> SUBSTITUTE( co_models[[#This Row],[model_dot]], ".", "_" )</f>
        <v>30cm</v>
      </c>
      <c r="G242" s="61" t="str">
        <f xml:space="preserve"> IF( co_models[[#This Row],[modelType]] = "gcm", co_models[[#This Row],[model_id]], SUBSTITUTE( co_models[[#This Row],[model_dot]], "cm", " cm" ) )</f>
        <v>30 cm</v>
      </c>
    </row>
    <row r="243" spans="1:21" x14ac:dyDescent="0.2">
      <c r="B243" s="7">
        <f xml:space="preserve"> ROW( co_models[[#This Row],[row_id]] ) - ROW( co_models[[#Headers],[row_id]] )</f>
        <v>10</v>
      </c>
      <c r="C243" s="79" t="s">
        <v>949</v>
      </c>
      <c r="D243" s="79" t="s">
        <v>818</v>
      </c>
      <c r="E243" s="61" t="str">
        <f xml:space="preserve"> IF( co_models[[#This Row],[modelType]] = "gcm", SUBSTITUTE( SUBSTITUTE( co_models[[#This Row],[model_id]], " ", "." ), "-", "." ),
         VALUE( SUBSTITUTE( co_models[[#This Row],[model_id]], "p", "." ) ) * 100 &amp; "cm" )</f>
        <v>50cm</v>
      </c>
      <c r="F243" s="61" t="str">
        <f xml:space="preserve"> SUBSTITUTE( co_models[[#This Row],[model_dot]], ".", "_" )</f>
        <v>50cm</v>
      </c>
      <c r="G243" s="61" t="str">
        <f xml:space="preserve"> IF( co_models[[#This Row],[modelType]] = "gcm", co_models[[#This Row],[model_id]], SUBSTITUTE( co_models[[#This Row],[model_dot]], "cm", " cm" ) )</f>
        <v>50 cm</v>
      </c>
    </row>
    <row r="244" spans="1:21" x14ac:dyDescent="0.2">
      <c r="B244" s="7">
        <f xml:space="preserve"> ROW( co_models[[#This Row],[row_id]] ) - ROW( co_models[[#Headers],[row_id]] )</f>
        <v>11</v>
      </c>
      <c r="C244" s="79" t="s">
        <v>950</v>
      </c>
      <c r="D244" s="79" t="s">
        <v>818</v>
      </c>
      <c r="E244" s="61" t="str">
        <f xml:space="preserve"> IF( co_models[[#This Row],[modelType]] = "gcm", SUBSTITUTE( SUBSTITUTE( co_models[[#This Row],[model_id]], " ", "." ), "-", "." ),
         VALUE( SUBSTITUTE( co_models[[#This Row],[model_id]], "p", "." ) ) * 100 &amp; "cm" )</f>
        <v>100cm</v>
      </c>
      <c r="F244" s="61" t="str">
        <f xml:space="preserve"> SUBSTITUTE( co_models[[#This Row],[model_dot]], ".", "_" )</f>
        <v>100cm</v>
      </c>
      <c r="G244" s="61" t="str">
        <f xml:space="preserve"> IF( co_models[[#This Row],[modelType]] = "gcm", co_models[[#This Row],[model_id]], SUBSTITUTE( co_models[[#This Row],[model_dot]], "cm", " cm" ) )</f>
        <v>100 cm</v>
      </c>
    </row>
    <row r="245" spans="1:21" x14ac:dyDescent="0.2">
      <c r="B245" s="7">
        <f xml:space="preserve"> ROW( co_models[[#This Row],[row_id]] ) - ROW( co_models[[#Headers],[row_id]] )</f>
        <v>12</v>
      </c>
      <c r="C245" s="79" t="s">
        <v>951</v>
      </c>
      <c r="D245" s="79" t="s">
        <v>818</v>
      </c>
      <c r="E245" s="61" t="str">
        <f xml:space="preserve"> IF( co_models[[#This Row],[modelType]] = "gcm", SUBSTITUTE( SUBSTITUTE( co_models[[#This Row],[model_id]], " ", "." ), "-", "." ),
         VALUE( SUBSTITUTE( co_models[[#This Row],[model_id]], "p", "." ) ) * 100 &amp; "cm" )</f>
        <v>150cm</v>
      </c>
      <c r="F245" s="61" t="str">
        <f xml:space="preserve"> SUBSTITUTE( co_models[[#This Row],[model_dot]], ".", "_" )</f>
        <v>150cm</v>
      </c>
      <c r="G245" s="61" t="str">
        <f xml:space="preserve"> IF( co_models[[#This Row],[modelType]] = "gcm", co_models[[#This Row],[model_id]], SUBSTITUTE( co_models[[#This Row],[model_dot]], "cm", " cm" ) )</f>
        <v>150 cm</v>
      </c>
    </row>
    <row r="246" spans="1:21" x14ac:dyDescent="0.2">
      <c r="B246" s="7">
        <f xml:space="preserve"> ROW( co_models[[#This Row],[row_id]] ) - ROW( co_models[[#Headers],[row_id]] )</f>
        <v>13</v>
      </c>
      <c r="C246" s="79" t="s">
        <v>952</v>
      </c>
      <c r="D246" s="79" t="s">
        <v>818</v>
      </c>
      <c r="E246" s="61" t="str">
        <f xml:space="preserve"> IF( co_models[[#This Row],[modelType]] = "gcm", SUBSTITUTE( SUBSTITUTE( co_models[[#This Row],[model_id]], " ", "." ), "-", "." ),
         VALUE( SUBSTITUTE( co_models[[#This Row],[model_id]], "p", "." ) ) * 100 &amp; "cm" )</f>
        <v>200cm</v>
      </c>
      <c r="F246" s="61" t="str">
        <f xml:space="preserve"> SUBSTITUTE( co_models[[#This Row],[model_dot]], ".", "_" )</f>
        <v>200cm</v>
      </c>
      <c r="G246" s="61" t="str">
        <f xml:space="preserve"> IF( co_models[[#This Row],[modelType]] = "gcm", co_models[[#This Row],[model_id]], SUBSTITUTE( co_models[[#This Row],[model_dot]], "cm", " cm" ) )</f>
        <v>200 cm</v>
      </c>
    </row>
    <row r="247" spans="1:21" x14ac:dyDescent="0.2">
      <c r="B247" s="7">
        <f xml:space="preserve"> ROW( co_models[[#This Row],[row_id]] ) - ROW( co_models[[#Headers],[row_id]] )</f>
        <v>14</v>
      </c>
      <c r="C247" s="79" t="s">
        <v>953</v>
      </c>
      <c r="D247" s="79" t="s">
        <v>818</v>
      </c>
      <c r="E247" s="61" t="str">
        <f xml:space="preserve"> IF( co_models[[#This Row],[modelType]] = "gcm", SUBSTITUTE( SUBSTITUTE( co_models[[#This Row],[model_id]], " ", "." ), "-", "." ),
         VALUE( SUBSTITUTE( co_models[[#This Row],[model_id]], "p", "." ) ) * 100 &amp; "cm" )</f>
        <v>250cm</v>
      </c>
      <c r="F247" s="61" t="str">
        <f xml:space="preserve"> SUBSTITUTE( co_models[[#This Row],[model_dot]], ".", "_" )</f>
        <v>250cm</v>
      </c>
      <c r="G247" s="61" t="str">
        <f xml:space="preserve"> IF( co_models[[#This Row],[modelType]] = "gcm", co_models[[#This Row],[model_id]], SUBSTITUTE( co_models[[#This Row],[model_dot]], "cm", " cm" ) )</f>
        <v>250 cm</v>
      </c>
    </row>
    <row r="250" spans="1:21" ht="15" x14ac:dyDescent="0.25">
      <c r="A250" s="47"/>
      <c r="B250" s="48" t="s">
        <v>233</v>
      </c>
      <c r="C250" s="48"/>
      <c r="D250" s="48"/>
      <c r="E250" s="48"/>
      <c r="F250" s="48"/>
      <c r="G250" s="48"/>
      <c r="H250" s="48"/>
      <c r="I250" s="48"/>
      <c r="J250" s="48"/>
      <c r="K250" s="48"/>
      <c r="L250" s="48"/>
      <c r="M250" s="48"/>
      <c r="N250" s="48"/>
      <c r="O250" s="48"/>
      <c r="P250" s="48"/>
      <c r="Q250" s="48"/>
      <c r="R250" s="48"/>
      <c r="S250" s="48"/>
      <c r="T250" s="48"/>
      <c r="U250" s="48"/>
    </row>
    <row r="252" spans="1:21" x14ac:dyDescent="0.2">
      <c r="B252" s="78" t="s">
        <v>780</v>
      </c>
      <c r="C252" s="60" t="s">
        <v>234</v>
      </c>
      <c r="D252" s="60" t="s">
        <v>820</v>
      </c>
      <c r="E252" s="61" t="s">
        <v>821</v>
      </c>
    </row>
    <row r="253" spans="1:21" x14ac:dyDescent="0.2">
      <c r="B253" s="7">
        <f xml:space="preserve"> ROW( co_regions[[#This Row],[row_id]] ) - ROW( co_regions[[#Headers],[row_id]] )</f>
        <v>1</v>
      </c>
      <c r="C253" s="79" t="s">
        <v>6</v>
      </c>
      <c r="D253" s="60" t="str">
        <f xml:space="preserve"> SUBSTITUTE( co_regions[[#This Row],[region_label]], " ", "." )</f>
        <v>Midwest</v>
      </c>
      <c r="E253" s="61" t="str">
        <f xml:space="preserve"> SUBSTITUTE( co_regions[[#This Row],[region_label]], " ", "_" )</f>
        <v>Midwest</v>
      </c>
    </row>
    <row r="254" spans="1:21" x14ac:dyDescent="0.2">
      <c r="B254" s="7">
        <f xml:space="preserve"> ROW( co_regions[[#This Row],[row_id]] ) - ROW( co_regions[[#Headers],[row_id]] )</f>
        <v>2</v>
      </c>
      <c r="C254" s="79" t="s">
        <v>7</v>
      </c>
      <c r="D254" s="60" t="str">
        <f xml:space="preserve"> SUBSTITUTE( co_regions[[#This Row],[region_label]], " ", "." )</f>
        <v>Northeast</v>
      </c>
      <c r="E254" s="61" t="str">
        <f xml:space="preserve"> SUBSTITUTE( co_regions[[#This Row],[region_label]], " ", "_" )</f>
        <v>Northeast</v>
      </c>
    </row>
    <row r="255" spans="1:21" x14ac:dyDescent="0.2">
      <c r="B255" s="7">
        <f xml:space="preserve"> ROW( co_regions[[#This Row],[row_id]] ) - ROW( co_regions[[#Headers],[row_id]] )</f>
        <v>3</v>
      </c>
      <c r="C255" s="79" t="s">
        <v>8</v>
      </c>
      <c r="D255" s="60" t="str">
        <f xml:space="preserve"> SUBSTITUTE( co_regions[[#This Row],[region_label]], " ", "." )</f>
        <v>Northern.Plains</v>
      </c>
      <c r="E255" s="61" t="str">
        <f xml:space="preserve"> SUBSTITUTE( co_regions[[#This Row],[region_label]], " ", "_" )</f>
        <v>Northern_Plains</v>
      </c>
    </row>
    <row r="256" spans="1:21" x14ac:dyDescent="0.2">
      <c r="B256" s="7">
        <f xml:space="preserve"> ROW( co_regions[[#This Row],[row_id]] ) - ROW( co_regions[[#Headers],[row_id]] )</f>
        <v>4</v>
      </c>
      <c r="C256" s="79" t="s">
        <v>9</v>
      </c>
      <c r="D256" s="60" t="str">
        <f xml:space="preserve"> SUBSTITUTE( co_regions[[#This Row],[region_label]], " ", "." )</f>
        <v>Northwest</v>
      </c>
      <c r="E256" s="61" t="str">
        <f xml:space="preserve"> SUBSTITUTE( co_regions[[#This Row],[region_label]], " ", "_" )</f>
        <v>Northwest</v>
      </c>
    </row>
    <row r="257" spans="1:21" x14ac:dyDescent="0.2">
      <c r="B257" s="7">
        <f xml:space="preserve"> ROW( co_regions[[#This Row],[row_id]] ) - ROW( co_regions[[#Headers],[row_id]] )</f>
        <v>5</v>
      </c>
      <c r="C257" s="79" t="s">
        <v>10</v>
      </c>
      <c r="D257" s="60" t="str">
        <f xml:space="preserve"> SUBSTITUTE( co_regions[[#This Row],[region_label]], " ", "." )</f>
        <v>Southeast</v>
      </c>
      <c r="E257" s="61" t="str">
        <f xml:space="preserve"> SUBSTITUTE( co_regions[[#This Row],[region_label]], " ", "_" )</f>
        <v>Southeast</v>
      </c>
    </row>
    <row r="258" spans="1:21" x14ac:dyDescent="0.2">
      <c r="B258" s="7">
        <f xml:space="preserve"> ROW( co_regions[[#This Row],[row_id]] ) - ROW( co_regions[[#Headers],[row_id]] )</f>
        <v>6</v>
      </c>
      <c r="C258" s="79" t="s">
        <v>11</v>
      </c>
      <c r="D258" s="60" t="str">
        <f xml:space="preserve"> SUBSTITUTE( co_regions[[#This Row],[region_label]], " ", "." )</f>
        <v>Southern.Plains</v>
      </c>
      <c r="E258" s="61" t="str">
        <f xml:space="preserve"> SUBSTITUTE( co_regions[[#This Row],[region_label]], " ", "_" )</f>
        <v>Southern_Plains</v>
      </c>
    </row>
    <row r="259" spans="1:21" x14ac:dyDescent="0.2">
      <c r="B259" s="7">
        <f xml:space="preserve"> ROW( co_regions[[#This Row],[row_id]] ) - ROW( co_regions[[#Headers],[row_id]] )</f>
        <v>7</v>
      </c>
      <c r="C259" s="79" t="s">
        <v>12</v>
      </c>
      <c r="D259" s="60" t="str">
        <f xml:space="preserve"> SUBSTITUTE( co_regions[[#This Row],[region_label]], " ", "." )</f>
        <v>Southwest</v>
      </c>
      <c r="E259" s="61" t="str">
        <f xml:space="preserve"> SUBSTITUTE( co_regions[[#This Row],[region_label]], " ", "_" )</f>
        <v>Southwest</v>
      </c>
    </row>
    <row r="262" spans="1:21" ht="15" x14ac:dyDescent="0.25">
      <c r="A262" s="47"/>
      <c r="B262" s="48" t="s">
        <v>1044</v>
      </c>
      <c r="C262" s="48"/>
      <c r="D262" s="48"/>
      <c r="E262" s="48"/>
      <c r="F262" s="48"/>
      <c r="G262" s="48"/>
      <c r="H262" s="48"/>
      <c r="I262" s="48"/>
      <c r="J262" s="48"/>
      <c r="K262" s="48"/>
      <c r="L262" s="48"/>
      <c r="M262" s="48"/>
      <c r="N262" s="48"/>
      <c r="O262" s="48"/>
      <c r="P262" s="48"/>
      <c r="Q262" s="48"/>
      <c r="R262" s="48"/>
      <c r="S262" s="48"/>
      <c r="T262" s="48"/>
      <c r="U262" s="48"/>
    </row>
    <row r="264" spans="1:21" x14ac:dyDescent="0.2">
      <c r="B264" s="60" t="s">
        <v>780</v>
      </c>
      <c r="C264" s="60" t="s">
        <v>1045</v>
      </c>
      <c r="D264" s="60" t="s">
        <v>1049</v>
      </c>
      <c r="E264" s="60" t="s">
        <v>1055</v>
      </c>
      <c r="F264" s="60" t="s">
        <v>1070</v>
      </c>
      <c r="G264" s="60" t="s">
        <v>1069</v>
      </c>
      <c r="H264" s="62" t="s">
        <v>1052</v>
      </c>
      <c r="I264" s="62" t="s">
        <v>1060</v>
      </c>
      <c r="J264" s="62" t="s">
        <v>1061</v>
      </c>
      <c r="K264" s="62" t="s">
        <v>1063</v>
      </c>
      <c r="L264" s="62" t="s">
        <v>218</v>
      </c>
    </row>
    <row r="265" spans="1:21" x14ac:dyDescent="0.2">
      <c r="B265" s="7">
        <f xml:space="preserve"> ROW( co_inputScenarioInfo[[#This Row],[row_id]] ) - ROW( co_inputScenarioInfo[[#Headers],[row_id]] )</f>
        <v>1</v>
      </c>
      <c r="C265" s="14" t="s">
        <v>1046</v>
      </c>
      <c r="D265" s="79" t="s">
        <v>956</v>
      </c>
      <c r="E265" s="79" t="s">
        <v>1056</v>
      </c>
      <c r="F265" s="79" t="str">
        <f xml:space="preserve"> co_inputScenarioInfo[[#This Row],[inputName]] &amp; "file"</f>
        <v>tempfile</v>
      </c>
      <c r="G265" s="79" t="str">
        <f xml:space="preserve"> co_inputScenarioInfo[[#This Row],[inputName]] &amp; "Input"</f>
        <v>tempInput</v>
      </c>
      <c r="H265" s="62" t="s">
        <v>962</v>
      </c>
      <c r="I265" s="62">
        <v>0</v>
      </c>
      <c r="J265" s="62">
        <f xml:space="preserve"> IF( ISNA( MATCH( co_inputScenarioInfo[[#This Row],[inputType]], co_modelTypes[modelUnitType], 0 ) ), "", INDEX( co_modelTypes[modelMaxExtrap], MATCH( co_inputScenarioInfo[[#This Row],[inputType]], co_modelTypes[modelUnitType], 0 ) ) )</f>
        <v>30</v>
      </c>
      <c r="K265" s="62" t="s">
        <v>1064</v>
      </c>
      <c r="L265" s="62">
        <v>0</v>
      </c>
    </row>
    <row r="266" spans="1:21" x14ac:dyDescent="0.2">
      <c r="B266" s="7">
        <f xml:space="preserve"> ROW( co_inputScenarioInfo[[#This Row],[row_id]] ) - ROW( co_inputScenarioInfo[[#Headers],[row_id]] )</f>
        <v>2</v>
      </c>
      <c r="C266" s="14" t="s">
        <v>818</v>
      </c>
      <c r="D266" s="79" t="s">
        <v>961</v>
      </c>
      <c r="E266" s="79" t="s">
        <v>1057</v>
      </c>
      <c r="F266" s="79" t="str">
        <f xml:space="preserve"> co_inputScenarioInfo[[#This Row],[inputName]] &amp; "file"</f>
        <v>slrfile</v>
      </c>
      <c r="G266" s="79" t="str">
        <f xml:space="preserve"> co_inputScenarioInfo[[#This Row],[inputName]] &amp; "Input"</f>
        <v>slrInput</v>
      </c>
      <c r="H266" s="62" t="s">
        <v>963</v>
      </c>
      <c r="I266" s="62">
        <v>0</v>
      </c>
      <c r="J266" s="62">
        <f xml:space="preserve"> IF( ISNA( MATCH( co_inputScenarioInfo[[#This Row],[inputType]], co_modelTypes[modelUnitType], 0 ) ), "", INDEX( co_modelTypes[modelMaxExtrap], MATCH( co_inputScenarioInfo[[#This Row],[inputType]], co_modelTypes[modelUnitType], 0 ) ) )</f>
        <v>1000</v>
      </c>
      <c r="K266" s="62" t="s">
        <v>1065</v>
      </c>
      <c r="L266" s="62">
        <v>0</v>
      </c>
    </row>
    <row r="267" spans="1:21" x14ac:dyDescent="0.2">
      <c r="B267" s="7">
        <f xml:space="preserve"> ROW( co_inputScenarioInfo[[#This Row],[row_id]] ) - ROW( co_inputScenarioInfo[[#Headers],[row_id]] )</f>
        <v>3</v>
      </c>
      <c r="C267" s="14" t="s">
        <v>1047</v>
      </c>
      <c r="D267" s="79" t="s">
        <v>1050</v>
      </c>
      <c r="E267" s="79" t="s">
        <v>1058</v>
      </c>
      <c r="F267" s="79" t="str">
        <f xml:space="preserve"> co_inputScenarioInfo[[#This Row],[inputName]] &amp; "file"</f>
        <v>gdpfile</v>
      </c>
      <c r="G267" s="79" t="str">
        <f xml:space="preserve"> co_inputScenarioInfo[[#This Row],[inputName]] &amp; "Input"</f>
        <v>gdpInput</v>
      </c>
      <c r="H267" s="62" t="s">
        <v>1053</v>
      </c>
      <c r="I267" s="62">
        <v>0</v>
      </c>
      <c r="J267" s="62" t="str">
        <f xml:space="preserve"> IF( ISNA( MATCH( co_inputScenarioInfo[[#This Row],[inputType]], co_modelTypes[modelUnitType], 0 ) ), "", INDEX( co_modelTypes[modelMaxExtrap], MATCH( co_inputScenarioInfo[[#This Row],[inputType]], co_modelTypes[modelUnitType], 0 ) ) )</f>
        <v/>
      </c>
      <c r="K267" s="62" t="s">
        <v>904</v>
      </c>
      <c r="L267" s="62">
        <v>0</v>
      </c>
    </row>
    <row r="268" spans="1:21" x14ac:dyDescent="0.2">
      <c r="B268" s="7">
        <f xml:space="preserve"> ROW( co_inputScenarioInfo[[#This Row],[row_id]] ) - ROW( co_inputScenarioInfo[[#Headers],[row_id]] )</f>
        <v>4</v>
      </c>
      <c r="C268" s="14" t="s">
        <v>1048</v>
      </c>
      <c r="D268" s="79" t="s">
        <v>1051</v>
      </c>
      <c r="E268" s="79" t="s">
        <v>1059</v>
      </c>
      <c r="F268" s="79" t="str">
        <f xml:space="preserve"> co_inputScenarioInfo[[#This Row],[inputName]] &amp; "file"</f>
        <v>popfile</v>
      </c>
      <c r="G268" s="79" t="str">
        <f xml:space="preserve"> co_inputScenarioInfo[[#This Row],[inputName]] &amp; "Input"</f>
        <v>popInput</v>
      </c>
      <c r="H268" s="62" t="s">
        <v>1054</v>
      </c>
      <c r="I268" s="62">
        <v>0</v>
      </c>
      <c r="J268" s="62" t="str">
        <f xml:space="preserve"> IF( ISNA( MATCH( co_inputScenarioInfo[[#This Row],[inputType]], co_modelTypes[modelUnitType], 0 ) ), "", INDEX( co_modelTypes[modelMaxExtrap], MATCH( co_inputScenarioInfo[[#This Row],[inputType]], co_modelTypes[modelUnitType], 0 ) ) )</f>
        <v/>
      </c>
      <c r="K268" s="62" t="s">
        <v>251</v>
      </c>
      <c r="L268" s="62">
        <v>1</v>
      </c>
    </row>
    <row r="271" spans="1:21" ht="15" x14ac:dyDescent="0.25">
      <c r="A271" s="47"/>
      <c r="B271" s="48" t="s">
        <v>1320</v>
      </c>
      <c r="C271" s="48"/>
      <c r="D271" s="48"/>
      <c r="E271" s="48"/>
      <c r="F271" s="48"/>
      <c r="G271" s="48"/>
      <c r="H271" s="48"/>
      <c r="I271" s="48"/>
      <c r="J271" s="48"/>
      <c r="K271" s="48"/>
      <c r="L271" s="48"/>
      <c r="M271" s="48"/>
      <c r="N271" s="48"/>
      <c r="O271" s="48"/>
      <c r="P271" s="48"/>
      <c r="Q271" s="48"/>
      <c r="R271" s="48"/>
      <c r="S271" s="48"/>
      <c r="T271" s="48"/>
      <c r="U271" s="48"/>
    </row>
    <row r="273" spans="2:6" x14ac:dyDescent="0.2">
      <c r="B273" s="4" t="s">
        <v>780</v>
      </c>
      <c r="C273" s="4" t="s">
        <v>1321</v>
      </c>
      <c r="D273" s="4" t="s">
        <v>1322</v>
      </c>
      <c r="E273" s="4" t="s">
        <v>218</v>
      </c>
      <c r="F273" s="21" t="s">
        <v>1323</v>
      </c>
    </row>
    <row r="274" spans="2:6" x14ac:dyDescent="0.2">
      <c r="B274" s="4">
        <f xml:space="preserve"> ROW( co_states[[#This Row],[row_id]] ) - ROW( co_states[[#Headers],[row_id]] )</f>
        <v>1</v>
      </c>
      <c r="C274" s="139" t="s">
        <v>1324</v>
      </c>
      <c r="D274" s="139" t="s">
        <v>1325</v>
      </c>
      <c r="E274" s="139" t="s">
        <v>10</v>
      </c>
      <c r="F274" s="140">
        <v>1</v>
      </c>
    </row>
    <row r="275" spans="2:6" x14ac:dyDescent="0.2">
      <c r="B275" s="4">
        <f xml:space="preserve"> ROW( co_states[[#This Row],[row_id]] ) - ROW( co_states[[#Headers],[row_id]] )</f>
        <v>2</v>
      </c>
      <c r="C275" s="139" t="s">
        <v>1326</v>
      </c>
      <c r="D275" s="139" t="s">
        <v>1327</v>
      </c>
      <c r="E275" s="139" t="s">
        <v>12</v>
      </c>
      <c r="F275" s="140">
        <v>4</v>
      </c>
    </row>
    <row r="276" spans="2:6" x14ac:dyDescent="0.2">
      <c r="B276" s="4">
        <f xml:space="preserve"> ROW( co_states[[#This Row],[row_id]] ) - ROW( co_states[[#Headers],[row_id]] )</f>
        <v>3</v>
      </c>
      <c r="C276" s="139" t="s">
        <v>1328</v>
      </c>
      <c r="D276" s="139" t="s">
        <v>1329</v>
      </c>
      <c r="E276" s="139" t="s">
        <v>10</v>
      </c>
      <c r="F276" s="140">
        <v>5</v>
      </c>
    </row>
    <row r="277" spans="2:6" x14ac:dyDescent="0.2">
      <c r="B277" s="4">
        <f xml:space="preserve"> ROW( co_states[[#This Row],[row_id]] ) - ROW( co_states[[#Headers],[row_id]] )</f>
        <v>4</v>
      </c>
      <c r="C277" s="139" t="s">
        <v>1330</v>
      </c>
      <c r="D277" s="139" t="s">
        <v>1331</v>
      </c>
      <c r="E277" s="139" t="s">
        <v>12</v>
      </c>
      <c r="F277" s="140">
        <v>6</v>
      </c>
    </row>
    <row r="278" spans="2:6" x14ac:dyDescent="0.2">
      <c r="B278" s="4">
        <f xml:space="preserve"> ROW( co_states[[#This Row],[row_id]] ) - ROW( co_states[[#Headers],[row_id]] )</f>
        <v>5</v>
      </c>
      <c r="C278" s="139" t="s">
        <v>1332</v>
      </c>
      <c r="D278" s="139" t="s">
        <v>1333</v>
      </c>
      <c r="E278" s="139" t="s">
        <v>12</v>
      </c>
      <c r="F278" s="140">
        <v>8</v>
      </c>
    </row>
    <row r="279" spans="2:6" x14ac:dyDescent="0.2">
      <c r="B279" s="4">
        <f xml:space="preserve"> ROW( co_states[[#This Row],[row_id]] ) - ROW( co_states[[#Headers],[row_id]] )</f>
        <v>6</v>
      </c>
      <c r="C279" s="139" t="s">
        <v>1334</v>
      </c>
      <c r="D279" s="139" t="s">
        <v>1335</v>
      </c>
      <c r="E279" s="139" t="s">
        <v>7</v>
      </c>
      <c r="F279" s="140">
        <v>9</v>
      </c>
    </row>
    <row r="280" spans="2:6" x14ac:dyDescent="0.2">
      <c r="B280" s="4">
        <f xml:space="preserve"> ROW( co_states[[#This Row],[row_id]] ) - ROW( co_states[[#Headers],[row_id]] )</f>
        <v>7</v>
      </c>
      <c r="C280" s="139" t="s">
        <v>1336</v>
      </c>
      <c r="D280" s="139" t="s">
        <v>1337</v>
      </c>
      <c r="E280" s="139" t="s">
        <v>7</v>
      </c>
      <c r="F280" s="140">
        <v>10</v>
      </c>
    </row>
    <row r="281" spans="2:6" x14ac:dyDescent="0.2">
      <c r="B281" s="4">
        <f xml:space="preserve"> ROW( co_states[[#This Row],[row_id]] ) - ROW( co_states[[#Headers],[row_id]] )</f>
        <v>8</v>
      </c>
      <c r="C281" s="139" t="s">
        <v>1338</v>
      </c>
      <c r="D281" s="139" t="s">
        <v>1339</v>
      </c>
      <c r="E281" s="139" t="s">
        <v>7</v>
      </c>
      <c r="F281" s="140">
        <v>11</v>
      </c>
    </row>
    <row r="282" spans="2:6" x14ac:dyDescent="0.2">
      <c r="B282" s="4">
        <f xml:space="preserve"> ROW( co_states[[#This Row],[row_id]] ) - ROW( co_states[[#Headers],[row_id]] )</f>
        <v>9</v>
      </c>
      <c r="C282" s="139" t="s">
        <v>1340</v>
      </c>
      <c r="D282" s="139" t="s">
        <v>1341</v>
      </c>
      <c r="E282" s="139" t="s">
        <v>10</v>
      </c>
      <c r="F282" s="140">
        <v>12</v>
      </c>
    </row>
    <row r="283" spans="2:6" x14ac:dyDescent="0.2">
      <c r="B283" s="4">
        <f xml:space="preserve"> ROW( co_states[[#This Row],[row_id]] ) - ROW( co_states[[#Headers],[row_id]] )</f>
        <v>10</v>
      </c>
      <c r="C283" s="139" t="s">
        <v>1342</v>
      </c>
      <c r="D283" s="139" t="s">
        <v>1343</v>
      </c>
      <c r="E283" s="139" t="s">
        <v>10</v>
      </c>
      <c r="F283" s="140">
        <v>13</v>
      </c>
    </row>
    <row r="284" spans="2:6" x14ac:dyDescent="0.2">
      <c r="B284" s="4">
        <f xml:space="preserve"> ROW( co_states[[#This Row],[row_id]] ) - ROW( co_states[[#Headers],[row_id]] )</f>
        <v>11</v>
      </c>
      <c r="C284" s="139" t="s">
        <v>1344</v>
      </c>
      <c r="D284" s="139" t="s">
        <v>210</v>
      </c>
      <c r="E284" s="139" t="s">
        <v>9</v>
      </c>
      <c r="F284" s="140">
        <v>16</v>
      </c>
    </row>
    <row r="285" spans="2:6" x14ac:dyDescent="0.2">
      <c r="B285" s="4">
        <f xml:space="preserve"> ROW( co_states[[#This Row],[row_id]] ) - ROW( co_states[[#Headers],[row_id]] )</f>
        <v>12</v>
      </c>
      <c r="C285" s="139" t="s">
        <v>1345</v>
      </c>
      <c r="D285" s="139" t="s">
        <v>1346</v>
      </c>
      <c r="E285" s="139" t="s">
        <v>6</v>
      </c>
      <c r="F285" s="140">
        <v>17</v>
      </c>
    </row>
    <row r="286" spans="2:6" x14ac:dyDescent="0.2">
      <c r="B286" s="4">
        <f xml:space="preserve"> ROW( co_states[[#This Row],[row_id]] ) - ROW( co_states[[#Headers],[row_id]] )</f>
        <v>13</v>
      </c>
      <c r="C286" s="139" t="s">
        <v>1347</v>
      </c>
      <c r="D286" s="139" t="s">
        <v>1348</v>
      </c>
      <c r="E286" s="139" t="s">
        <v>6</v>
      </c>
      <c r="F286" s="140">
        <v>18</v>
      </c>
    </row>
    <row r="287" spans="2:6" x14ac:dyDescent="0.2">
      <c r="B287" s="4">
        <f xml:space="preserve"> ROW( co_states[[#This Row],[row_id]] ) - ROW( co_states[[#Headers],[row_id]] )</f>
        <v>14</v>
      </c>
      <c r="C287" s="139" t="s">
        <v>1349</v>
      </c>
      <c r="D287" s="139" t="s">
        <v>1350</v>
      </c>
      <c r="E287" s="139" t="s">
        <v>6</v>
      </c>
      <c r="F287" s="140">
        <v>19</v>
      </c>
    </row>
    <row r="288" spans="2:6" x14ac:dyDescent="0.2">
      <c r="B288" s="4">
        <f xml:space="preserve"> ROW( co_states[[#This Row],[row_id]] ) - ROW( co_states[[#Headers],[row_id]] )</f>
        <v>15</v>
      </c>
      <c r="C288" s="139" t="s">
        <v>1351</v>
      </c>
      <c r="D288" s="139" t="s">
        <v>1352</v>
      </c>
      <c r="E288" s="139" t="s">
        <v>11</v>
      </c>
      <c r="F288" s="140">
        <v>20</v>
      </c>
    </row>
    <row r="289" spans="2:6" x14ac:dyDescent="0.2">
      <c r="B289" s="4">
        <f xml:space="preserve"> ROW( co_states[[#This Row],[row_id]] ) - ROW( co_states[[#Headers],[row_id]] )</f>
        <v>16</v>
      </c>
      <c r="C289" s="139" t="s">
        <v>1353</v>
      </c>
      <c r="D289" s="139" t="s">
        <v>1354</v>
      </c>
      <c r="E289" s="139" t="s">
        <v>10</v>
      </c>
      <c r="F289" s="140">
        <v>21</v>
      </c>
    </row>
    <row r="290" spans="2:6" x14ac:dyDescent="0.2">
      <c r="B290" s="4">
        <f xml:space="preserve"> ROW( co_states[[#This Row],[row_id]] ) - ROW( co_states[[#Headers],[row_id]] )</f>
        <v>17</v>
      </c>
      <c r="C290" s="139" t="s">
        <v>1355</v>
      </c>
      <c r="D290" s="139" t="s">
        <v>1356</v>
      </c>
      <c r="E290" s="139" t="s">
        <v>10</v>
      </c>
      <c r="F290" s="140">
        <v>22</v>
      </c>
    </row>
    <row r="291" spans="2:6" x14ac:dyDescent="0.2">
      <c r="B291" s="4">
        <f xml:space="preserve"> ROW( co_states[[#This Row],[row_id]] ) - ROW( co_states[[#Headers],[row_id]] )</f>
        <v>18</v>
      </c>
      <c r="C291" s="139" t="s">
        <v>1357</v>
      </c>
      <c r="D291" s="139" t="s">
        <v>1358</v>
      </c>
      <c r="E291" s="139" t="s">
        <v>7</v>
      </c>
      <c r="F291" s="140">
        <v>23</v>
      </c>
    </row>
    <row r="292" spans="2:6" x14ac:dyDescent="0.2">
      <c r="B292" s="4">
        <f xml:space="preserve"> ROW( co_states[[#This Row],[row_id]] ) - ROW( co_states[[#Headers],[row_id]] )</f>
        <v>19</v>
      </c>
      <c r="C292" s="139" t="s">
        <v>1359</v>
      </c>
      <c r="D292" s="139" t="s">
        <v>1360</v>
      </c>
      <c r="E292" s="139" t="s">
        <v>7</v>
      </c>
      <c r="F292" s="140">
        <v>24</v>
      </c>
    </row>
    <row r="293" spans="2:6" x14ac:dyDescent="0.2">
      <c r="B293" s="4">
        <f xml:space="preserve"> ROW( co_states[[#This Row],[row_id]] ) - ROW( co_states[[#Headers],[row_id]] )</f>
        <v>20</v>
      </c>
      <c r="C293" s="139" t="s">
        <v>1361</v>
      </c>
      <c r="D293" s="139" t="s">
        <v>1362</v>
      </c>
      <c r="E293" s="139" t="s">
        <v>7</v>
      </c>
      <c r="F293" s="140">
        <v>25</v>
      </c>
    </row>
    <row r="294" spans="2:6" x14ac:dyDescent="0.2">
      <c r="B294" s="4">
        <f xml:space="preserve"> ROW( co_states[[#This Row],[row_id]] ) - ROW( co_states[[#Headers],[row_id]] )</f>
        <v>21</v>
      </c>
      <c r="C294" s="139" t="s">
        <v>1363</v>
      </c>
      <c r="D294" s="139" t="s">
        <v>1364</v>
      </c>
      <c r="E294" s="139" t="s">
        <v>6</v>
      </c>
      <c r="F294" s="140">
        <v>26</v>
      </c>
    </row>
    <row r="295" spans="2:6" x14ac:dyDescent="0.2">
      <c r="B295" s="4">
        <f xml:space="preserve"> ROW( co_states[[#This Row],[row_id]] ) - ROW( co_states[[#Headers],[row_id]] )</f>
        <v>22</v>
      </c>
      <c r="C295" s="139" t="s">
        <v>1365</v>
      </c>
      <c r="D295" s="139" t="s">
        <v>1366</v>
      </c>
      <c r="E295" s="139" t="s">
        <v>6</v>
      </c>
      <c r="F295" s="140">
        <v>27</v>
      </c>
    </row>
    <row r="296" spans="2:6" x14ac:dyDescent="0.2">
      <c r="B296" s="4">
        <f xml:space="preserve"> ROW( co_states[[#This Row],[row_id]] ) - ROW( co_states[[#Headers],[row_id]] )</f>
        <v>23</v>
      </c>
      <c r="C296" s="139" t="s">
        <v>1367</v>
      </c>
      <c r="D296" s="139" t="s">
        <v>1368</v>
      </c>
      <c r="E296" s="139" t="s">
        <v>10</v>
      </c>
      <c r="F296" s="140">
        <v>28</v>
      </c>
    </row>
    <row r="297" spans="2:6" x14ac:dyDescent="0.2">
      <c r="B297" s="4">
        <f xml:space="preserve"> ROW( co_states[[#This Row],[row_id]] ) - ROW( co_states[[#Headers],[row_id]] )</f>
        <v>24</v>
      </c>
      <c r="C297" s="139" t="s">
        <v>1369</v>
      </c>
      <c r="D297" s="139" t="s">
        <v>1370</v>
      </c>
      <c r="E297" s="139" t="s">
        <v>6</v>
      </c>
      <c r="F297" s="140">
        <v>29</v>
      </c>
    </row>
    <row r="298" spans="2:6" x14ac:dyDescent="0.2">
      <c r="B298" s="4">
        <f xml:space="preserve"> ROW( co_states[[#This Row],[row_id]] ) - ROW( co_states[[#Headers],[row_id]] )</f>
        <v>25</v>
      </c>
      <c r="C298" s="139" t="s">
        <v>1371</v>
      </c>
      <c r="D298" s="139" t="s">
        <v>1372</v>
      </c>
      <c r="E298" s="139" t="s">
        <v>8</v>
      </c>
      <c r="F298" s="140">
        <v>30</v>
      </c>
    </row>
    <row r="299" spans="2:6" x14ac:dyDescent="0.2">
      <c r="B299" s="4">
        <f xml:space="preserve"> ROW( co_states[[#This Row],[row_id]] ) - ROW( co_states[[#Headers],[row_id]] )</f>
        <v>26</v>
      </c>
      <c r="C299" s="139" t="s">
        <v>1373</v>
      </c>
      <c r="D299" s="139" t="s">
        <v>1374</v>
      </c>
      <c r="E299" s="139" t="s">
        <v>8</v>
      </c>
      <c r="F299" s="140">
        <v>31</v>
      </c>
    </row>
    <row r="300" spans="2:6" x14ac:dyDescent="0.2">
      <c r="B300" s="4">
        <f xml:space="preserve"> ROW( co_states[[#This Row],[row_id]] ) - ROW( co_states[[#Headers],[row_id]] )</f>
        <v>27</v>
      </c>
      <c r="C300" s="139" t="s">
        <v>1375</v>
      </c>
      <c r="D300" s="139" t="s">
        <v>1376</v>
      </c>
      <c r="E300" s="139" t="s">
        <v>12</v>
      </c>
      <c r="F300" s="140">
        <v>32</v>
      </c>
    </row>
    <row r="301" spans="2:6" x14ac:dyDescent="0.2">
      <c r="B301" s="4">
        <f xml:space="preserve"> ROW( co_states[[#This Row],[row_id]] ) - ROW( co_states[[#Headers],[row_id]] )</f>
        <v>28</v>
      </c>
      <c r="C301" s="139" t="s">
        <v>1377</v>
      </c>
      <c r="D301" s="139" t="s">
        <v>1378</v>
      </c>
      <c r="E301" s="139" t="s">
        <v>7</v>
      </c>
      <c r="F301" s="140">
        <v>33</v>
      </c>
    </row>
    <row r="302" spans="2:6" x14ac:dyDescent="0.2">
      <c r="B302" s="4">
        <f xml:space="preserve"> ROW( co_states[[#This Row],[row_id]] ) - ROW( co_states[[#Headers],[row_id]] )</f>
        <v>29</v>
      </c>
      <c r="C302" s="139" t="s">
        <v>1379</v>
      </c>
      <c r="D302" s="139" t="s">
        <v>1380</v>
      </c>
      <c r="E302" s="139" t="s">
        <v>7</v>
      </c>
      <c r="F302" s="140">
        <v>34</v>
      </c>
    </row>
    <row r="303" spans="2:6" x14ac:dyDescent="0.2">
      <c r="B303" s="4">
        <f xml:space="preserve"> ROW( co_states[[#This Row],[row_id]] ) - ROW( co_states[[#Headers],[row_id]] )</f>
        <v>30</v>
      </c>
      <c r="C303" s="139" t="s">
        <v>1381</v>
      </c>
      <c r="D303" s="139" t="s">
        <v>1382</v>
      </c>
      <c r="E303" s="139" t="s">
        <v>12</v>
      </c>
      <c r="F303" s="140">
        <v>35</v>
      </c>
    </row>
    <row r="304" spans="2:6" x14ac:dyDescent="0.2">
      <c r="B304" s="4">
        <f xml:space="preserve"> ROW( co_states[[#This Row],[row_id]] ) - ROW( co_states[[#Headers],[row_id]] )</f>
        <v>31</v>
      </c>
      <c r="C304" s="139" t="s">
        <v>1383</v>
      </c>
      <c r="D304" s="139" t="s">
        <v>1384</v>
      </c>
      <c r="E304" s="139" t="s">
        <v>7</v>
      </c>
      <c r="F304" s="140">
        <v>36</v>
      </c>
    </row>
    <row r="305" spans="2:6" x14ac:dyDescent="0.2">
      <c r="B305" s="4">
        <f xml:space="preserve"> ROW( co_states[[#This Row],[row_id]] ) - ROW( co_states[[#Headers],[row_id]] )</f>
        <v>32</v>
      </c>
      <c r="C305" s="139" t="s">
        <v>1385</v>
      </c>
      <c r="D305" s="139" t="s">
        <v>1386</v>
      </c>
      <c r="E305" s="139" t="s">
        <v>10</v>
      </c>
      <c r="F305" s="140">
        <v>37</v>
      </c>
    </row>
    <row r="306" spans="2:6" x14ac:dyDescent="0.2">
      <c r="B306" s="4">
        <f xml:space="preserve"> ROW( co_states[[#This Row],[row_id]] ) - ROW( co_states[[#Headers],[row_id]] )</f>
        <v>33</v>
      </c>
      <c r="C306" s="139" t="s">
        <v>1387</v>
      </c>
      <c r="D306" s="139" t="s">
        <v>1388</v>
      </c>
      <c r="E306" s="139" t="s">
        <v>8</v>
      </c>
      <c r="F306" s="140">
        <v>38</v>
      </c>
    </row>
    <row r="307" spans="2:6" x14ac:dyDescent="0.2">
      <c r="B307" s="4">
        <f xml:space="preserve"> ROW( co_states[[#This Row],[row_id]] ) - ROW( co_states[[#Headers],[row_id]] )</f>
        <v>34</v>
      </c>
      <c r="C307" s="139" t="s">
        <v>1389</v>
      </c>
      <c r="D307" s="139" t="s">
        <v>1390</v>
      </c>
      <c r="E307" s="139" t="s">
        <v>6</v>
      </c>
      <c r="F307" s="140">
        <v>39</v>
      </c>
    </row>
    <row r="308" spans="2:6" x14ac:dyDescent="0.2">
      <c r="B308" s="4">
        <f xml:space="preserve"> ROW( co_states[[#This Row],[row_id]] ) - ROW( co_states[[#Headers],[row_id]] )</f>
        <v>35</v>
      </c>
      <c r="C308" s="139" t="s">
        <v>1391</v>
      </c>
      <c r="D308" s="139" t="s">
        <v>1392</v>
      </c>
      <c r="E308" s="139" t="s">
        <v>11</v>
      </c>
      <c r="F308" s="140">
        <v>40</v>
      </c>
    </row>
    <row r="309" spans="2:6" x14ac:dyDescent="0.2">
      <c r="B309" s="4">
        <f xml:space="preserve"> ROW( co_states[[#This Row],[row_id]] ) - ROW( co_states[[#Headers],[row_id]] )</f>
        <v>36</v>
      </c>
      <c r="C309" s="139" t="s">
        <v>1393</v>
      </c>
      <c r="D309" s="139" t="s">
        <v>1394</v>
      </c>
      <c r="E309" s="139" t="s">
        <v>9</v>
      </c>
      <c r="F309" s="140">
        <v>41</v>
      </c>
    </row>
    <row r="310" spans="2:6" x14ac:dyDescent="0.2">
      <c r="B310" s="4">
        <f xml:space="preserve"> ROW( co_states[[#This Row],[row_id]] ) - ROW( co_states[[#Headers],[row_id]] )</f>
        <v>37</v>
      </c>
      <c r="C310" s="139" t="s">
        <v>1395</v>
      </c>
      <c r="D310" s="139" t="s">
        <v>1396</v>
      </c>
      <c r="E310" s="139" t="s">
        <v>7</v>
      </c>
      <c r="F310" s="140">
        <v>42</v>
      </c>
    </row>
    <row r="311" spans="2:6" x14ac:dyDescent="0.2">
      <c r="B311" s="4">
        <f xml:space="preserve"> ROW( co_states[[#This Row],[row_id]] ) - ROW( co_states[[#Headers],[row_id]] )</f>
        <v>38</v>
      </c>
      <c r="C311" s="139" t="s">
        <v>1397</v>
      </c>
      <c r="D311" s="139" t="s">
        <v>1398</v>
      </c>
      <c r="E311" s="139" t="s">
        <v>7</v>
      </c>
      <c r="F311" s="140">
        <v>44</v>
      </c>
    </row>
    <row r="312" spans="2:6" x14ac:dyDescent="0.2">
      <c r="B312" s="4">
        <f xml:space="preserve"> ROW( co_states[[#This Row],[row_id]] ) - ROW( co_states[[#Headers],[row_id]] )</f>
        <v>39</v>
      </c>
      <c r="C312" s="139" t="s">
        <v>1399</v>
      </c>
      <c r="D312" s="139" t="s">
        <v>1400</v>
      </c>
      <c r="E312" s="139" t="s">
        <v>10</v>
      </c>
      <c r="F312" s="140">
        <v>45</v>
      </c>
    </row>
    <row r="313" spans="2:6" x14ac:dyDescent="0.2">
      <c r="B313" s="4">
        <f xml:space="preserve"> ROW( co_states[[#This Row],[row_id]] ) - ROW( co_states[[#Headers],[row_id]] )</f>
        <v>40</v>
      </c>
      <c r="C313" s="139" t="s">
        <v>1401</v>
      </c>
      <c r="D313" s="139" t="s">
        <v>1402</v>
      </c>
      <c r="E313" s="139" t="s">
        <v>8</v>
      </c>
      <c r="F313" s="140">
        <v>46</v>
      </c>
    </row>
    <row r="314" spans="2:6" x14ac:dyDescent="0.2">
      <c r="B314" s="4">
        <f xml:space="preserve"> ROW( co_states[[#This Row],[row_id]] ) - ROW( co_states[[#Headers],[row_id]] )</f>
        <v>41</v>
      </c>
      <c r="C314" s="139" t="s">
        <v>1403</v>
      </c>
      <c r="D314" s="139" t="s">
        <v>1404</v>
      </c>
      <c r="E314" s="139" t="s">
        <v>10</v>
      </c>
      <c r="F314" s="140">
        <v>47</v>
      </c>
    </row>
    <row r="315" spans="2:6" x14ac:dyDescent="0.2">
      <c r="B315" s="4">
        <f xml:space="preserve"> ROW( co_states[[#This Row],[row_id]] ) - ROW( co_states[[#Headers],[row_id]] )</f>
        <v>42</v>
      </c>
      <c r="C315" s="139" t="s">
        <v>1405</v>
      </c>
      <c r="D315" s="139" t="s">
        <v>1406</v>
      </c>
      <c r="E315" s="139" t="s">
        <v>11</v>
      </c>
      <c r="F315" s="140">
        <v>48</v>
      </c>
    </row>
    <row r="316" spans="2:6" x14ac:dyDescent="0.2">
      <c r="B316" s="4">
        <f xml:space="preserve"> ROW( co_states[[#This Row],[row_id]] ) - ROW( co_states[[#Headers],[row_id]] )</f>
        <v>43</v>
      </c>
      <c r="C316" s="139" t="s">
        <v>1407</v>
      </c>
      <c r="D316" s="139" t="s">
        <v>1408</v>
      </c>
      <c r="E316" s="139" t="s">
        <v>12</v>
      </c>
      <c r="F316" s="140">
        <v>49</v>
      </c>
    </row>
    <row r="317" spans="2:6" x14ac:dyDescent="0.2">
      <c r="B317" s="4">
        <f xml:space="preserve"> ROW( co_states[[#This Row],[row_id]] ) - ROW( co_states[[#Headers],[row_id]] )</f>
        <v>44</v>
      </c>
      <c r="C317" s="139" t="s">
        <v>1409</v>
      </c>
      <c r="D317" s="139" t="s">
        <v>1410</v>
      </c>
      <c r="E317" s="139" t="s">
        <v>7</v>
      </c>
      <c r="F317" s="140">
        <v>50</v>
      </c>
    </row>
    <row r="318" spans="2:6" x14ac:dyDescent="0.2">
      <c r="B318" s="4">
        <f xml:space="preserve"> ROW( co_states[[#This Row],[row_id]] ) - ROW( co_states[[#Headers],[row_id]] )</f>
        <v>45</v>
      </c>
      <c r="C318" s="139" t="s">
        <v>1411</v>
      </c>
      <c r="D318" s="139" t="s">
        <v>1412</v>
      </c>
      <c r="E318" s="139" t="s">
        <v>10</v>
      </c>
      <c r="F318" s="140">
        <v>51</v>
      </c>
    </row>
    <row r="319" spans="2:6" x14ac:dyDescent="0.2">
      <c r="B319" s="4">
        <f xml:space="preserve"> ROW( co_states[[#This Row],[row_id]] ) - ROW( co_states[[#Headers],[row_id]] )</f>
        <v>46</v>
      </c>
      <c r="C319" s="139" t="s">
        <v>1413</v>
      </c>
      <c r="D319" s="139" t="s">
        <v>1414</v>
      </c>
      <c r="E319" s="139" t="s">
        <v>9</v>
      </c>
      <c r="F319" s="140">
        <v>53</v>
      </c>
    </row>
    <row r="320" spans="2:6" x14ac:dyDescent="0.2">
      <c r="B320" s="4">
        <f xml:space="preserve"> ROW( co_states[[#This Row],[row_id]] ) - ROW( co_states[[#Headers],[row_id]] )</f>
        <v>47</v>
      </c>
      <c r="C320" s="139" t="s">
        <v>1415</v>
      </c>
      <c r="D320" s="139" t="s">
        <v>1416</v>
      </c>
      <c r="E320" s="139" t="s">
        <v>7</v>
      </c>
      <c r="F320" s="140">
        <v>54</v>
      </c>
    </row>
    <row r="321" spans="1:21" x14ac:dyDescent="0.2">
      <c r="B321" s="4">
        <f xml:space="preserve"> ROW( co_states[[#This Row],[row_id]] ) - ROW( co_states[[#Headers],[row_id]] )</f>
        <v>48</v>
      </c>
      <c r="C321" s="139" t="s">
        <v>1417</v>
      </c>
      <c r="D321" s="139" t="s">
        <v>1418</v>
      </c>
      <c r="E321" s="139" t="s">
        <v>6</v>
      </c>
      <c r="F321" s="140">
        <v>55</v>
      </c>
    </row>
    <row r="322" spans="1:21" x14ac:dyDescent="0.2">
      <c r="B322" s="4">
        <f xml:space="preserve"> ROW( co_states[[#This Row],[row_id]] ) - ROW( co_states[[#Headers],[row_id]] )</f>
        <v>49</v>
      </c>
      <c r="C322" s="139" t="s">
        <v>1419</v>
      </c>
      <c r="D322" s="139" t="s">
        <v>1420</v>
      </c>
      <c r="E322" s="139" t="s">
        <v>8</v>
      </c>
      <c r="F322" s="140">
        <v>56</v>
      </c>
    </row>
    <row r="325" spans="1:21" ht="15" x14ac:dyDescent="0.25">
      <c r="A325" s="47"/>
      <c r="B325" s="48" t="s">
        <v>1425</v>
      </c>
      <c r="C325" s="48"/>
      <c r="D325" s="48"/>
      <c r="E325" s="48"/>
      <c r="F325" s="48"/>
      <c r="G325" s="48"/>
      <c r="H325" s="48"/>
      <c r="I325" s="48"/>
      <c r="J325" s="48"/>
      <c r="K325" s="48"/>
      <c r="L325" s="48"/>
      <c r="M325" s="48"/>
      <c r="N325" s="48"/>
      <c r="O325" s="48"/>
      <c r="P325" s="48"/>
      <c r="Q325" s="48"/>
      <c r="R325" s="48"/>
      <c r="S325" s="48"/>
      <c r="T325" s="48"/>
      <c r="U325" s="48"/>
    </row>
    <row r="326" spans="1:21" x14ac:dyDescent="0.2">
      <c r="B326" s="4" t="s">
        <v>1426</v>
      </c>
    </row>
    <row r="328" spans="1:21" x14ac:dyDescent="0.2">
      <c r="B328" s="78" t="s">
        <v>780</v>
      </c>
      <c r="C328" s="60" t="s">
        <v>920</v>
      </c>
      <c r="D328" s="60" t="s">
        <v>1424</v>
      </c>
      <c r="E328" s="60" t="s">
        <v>792</v>
      </c>
      <c r="F328" s="60" t="s">
        <v>917</v>
      </c>
      <c r="G328" s="60" t="s">
        <v>764</v>
      </c>
      <c r="H328" s="60" t="s">
        <v>765</v>
      </c>
      <c r="I328" s="60" t="s">
        <v>1428</v>
      </c>
      <c r="J328" s="60" t="s">
        <v>1427</v>
      </c>
    </row>
    <row r="329" spans="1:21" x14ac:dyDescent="0.2">
      <c r="B329" s="7">
        <f xml:space="preserve"> ROW( co_slrScalars[[#This Row],[row_id]] ) - ROW( co_slrScalars[[#Headers],[row_id]] )</f>
        <v>1</v>
      </c>
      <c r="C329" s="79" t="s">
        <v>86</v>
      </c>
      <c r="D329" s="58" cm="1">
        <f t="array" ref="D329" xml:space="preserve"> INDEX( co_sectors[byState], MATCH( 1, --( co_slrScalars[[#This Row],[sector]] = co_sectors[sector_id] ), 0 ) )</f>
        <v>0</v>
      </c>
      <c r="E329" s="79" t="s">
        <v>251</v>
      </c>
      <c r="F329" s="79" t="s">
        <v>257</v>
      </c>
      <c r="G329" s="79">
        <v>1</v>
      </c>
      <c r="H329" s="79">
        <v>0.45</v>
      </c>
      <c r="I329" s="79">
        <v>0</v>
      </c>
      <c r="J329" s="79">
        <v>2090</v>
      </c>
    </row>
    <row r="330" spans="1:21" x14ac:dyDescent="0.2">
      <c r="B330" s="7">
        <f xml:space="preserve"> ROW( co_slrScalars[[#This Row],[row_id]] ) - ROW( co_slrScalars[[#Headers],[row_id]] )</f>
        <v>2</v>
      </c>
      <c r="C330" s="79" t="s">
        <v>221</v>
      </c>
      <c r="D330" s="58" cm="1">
        <f t="array" ref="D330" xml:space="preserve"> INDEX( co_sectors[byState], MATCH( 1, --( co_slrScalars[[#This Row],[sector]] = co_sectors[sector_id] ), 0 ) )</f>
        <v>1</v>
      </c>
      <c r="E330" s="79" t="s">
        <v>251</v>
      </c>
      <c r="F330" s="79" t="s">
        <v>904</v>
      </c>
      <c r="G330" s="79">
        <v>0.16250000000000001</v>
      </c>
      <c r="H330" s="79">
        <v>1</v>
      </c>
      <c r="I330" s="79">
        <v>0.83750000000000002</v>
      </c>
      <c r="J330" s="79">
        <v>2090</v>
      </c>
    </row>
  </sheetData>
  <phoneticPr fontId="10"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1100</v>
      </c>
    </row>
    <row r="3" spans="2:11" x14ac:dyDescent="0.25">
      <c r="B3" s="10" t="s">
        <v>780</v>
      </c>
      <c r="C3" s="10" t="s">
        <v>232</v>
      </c>
      <c r="D3" s="10" t="s">
        <v>904</v>
      </c>
      <c r="E3" s="10" t="s">
        <v>823</v>
      </c>
      <c r="F3" s="10" t="s">
        <v>824</v>
      </c>
      <c r="G3" s="10" t="s">
        <v>942</v>
      </c>
      <c r="H3" s="10" t="s">
        <v>825</v>
      </c>
      <c r="I3" s="10" t="s">
        <v>826</v>
      </c>
      <c r="J3" s="10" t="s">
        <v>943</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1156</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1101</v>
      </c>
    </row>
    <row r="3" spans="2:6" x14ac:dyDescent="0.25">
      <c r="B3" s="98" t="s">
        <v>780</v>
      </c>
      <c r="C3" s="98" t="s">
        <v>219</v>
      </c>
      <c r="D3" s="98" t="s">
        <v>1102</v>
      </c>
      <c r="E3" s="98" t="s">
        <v>1103</v>
      </c>
      <c r="F3" s="98" t="s">
        <v>1071</v>
      </c>
    </row>
    <row r="4" spans="2:6" ht="75" x14ac:dyDescent="0.25">
      <c r="B4" s="99">
        <f xml:space="preserve"> ROW( Readme_sectors[[#This Row],[row_id]] ) - ROW( Readme_sectors[[#Headers],[row_id]] )</f>
        <v>1</v>
      </c>
      <c r="C4" s="98" t="s">
        <v>86</v>
      </c>
      <c r="D4" s="98" t="s">
        <v>87</v>
      </c>
      <c r="E4" s="98" t="s">
        <v>776</v>
      </c>
      <c r="F4" s="100" t="s">
        <v>1104</v>
      </c>
    </row>
    <row r="5" spans="2:6" ht="45" x14ac:dyDescent="0.25">
      <c r="B5" s="99">
        <f xml:space="preserve"> ROW( Readme_sectors[[#This Row],[row_id]] ) - ROW( Readme_sectors[[#Headers],[row_id]] )</f>
        <v>2</v>
      </c>
      <c r="C5" s="99" t="s">
        <v>221</v>
      </c>
      <c r="D5" s="98" t="s">
        <v>87</v>
      </c>
      <c r="E5" s="98" t="s">
        <v>776</v>
      </c>
      <c r="F5" s="100" t="s">
        <v>1105</v>
      </c>
    </row>
    <row r="8" spans="2:6" x14ac:dyDescent="0.25">
      <c r="B8" t="s">
        <v>1106</v>
      </c>
    </row>
    <row r="9" spans="2:6" x14ac:dyDescent="0.25">
      <c r="B9" t="s">
        <v>780</v>
      </c>
      <c r="C9" t="s">
        <v>219</v>
      </c>
      <c r="D9" t="s">
        <v>1102</v>
      </c>
      <c r="E9" t="s">
        <v>1103</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2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2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2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2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2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2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2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2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2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2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2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2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2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2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2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2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2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2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2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2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2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2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2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2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2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2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2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2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2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2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2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2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2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2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2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2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2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2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2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2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2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2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2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2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2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2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2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2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2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2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2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2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2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2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2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2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2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2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2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2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2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2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2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2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2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2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2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2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2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2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2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2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2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2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2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2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2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2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2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2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2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2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2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2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2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2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2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2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2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2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2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2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2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2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2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2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2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2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2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2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2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2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2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2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2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2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2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2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2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2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2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2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2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2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2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2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2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2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2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2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2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2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2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2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2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2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2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2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2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2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2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2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2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2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2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2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2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2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2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2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2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2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2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2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2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2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2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2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2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2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2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2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2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2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2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2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2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2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2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2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2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2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2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2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2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2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2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2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2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2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2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2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2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2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2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2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2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2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2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2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2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2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2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2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2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2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2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2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2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2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2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2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2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2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2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2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2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2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2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2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2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2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2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2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2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2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2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2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2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2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2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2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2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2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2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2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2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2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2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2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2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2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2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2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2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2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2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2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2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2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2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2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2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2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2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2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2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2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2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2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2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2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2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2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2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2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2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2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2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2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2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2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2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2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2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2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2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2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2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2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2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2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2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2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2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2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2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2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2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2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2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2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2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2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2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2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2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2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2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2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2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2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2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2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2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2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2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2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2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2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2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2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2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2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2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2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2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2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2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2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2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2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2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2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2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2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2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2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2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2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2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2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2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2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2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2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2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2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2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2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2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2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2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2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2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2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2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2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2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2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2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2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2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2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2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2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2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2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2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2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2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2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2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2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2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2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2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2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2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2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2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2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2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2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2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2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2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2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2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2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2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2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2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2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2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2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2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2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2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2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2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2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2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2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2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2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2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2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2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2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2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2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2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2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2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2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2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2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2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2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2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2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2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2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2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2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2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2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2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2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2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2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2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2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2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2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2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2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2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2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2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2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2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2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2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2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2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2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2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2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2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2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2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2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2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2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2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2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2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2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2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2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2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2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2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2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2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2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2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2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2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2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2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2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2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2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2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2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2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2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2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2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2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2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2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2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2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2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2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2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2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2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2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2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2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2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2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2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2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2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2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2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2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2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2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2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2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2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2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2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2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2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2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2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2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2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2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2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2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2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2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2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2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2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2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2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2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2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2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2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2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2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2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2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2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2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2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2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2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2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2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2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2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2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2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2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2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2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2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2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2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2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2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2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2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2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2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2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2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2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2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2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2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2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2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2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2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2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2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2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2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2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2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2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2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2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2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2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2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2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2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2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2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2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2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2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2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2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2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2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2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2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2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2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2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2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2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2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2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2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2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2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2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2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2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2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2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2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2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2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2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2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2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2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2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2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2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2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2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2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2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2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2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2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2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2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2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2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2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2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2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2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2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2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2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2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2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2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2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2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2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2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2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2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2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2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2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2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2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2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2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2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2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2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2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2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2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2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2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2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2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2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2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2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2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2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2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2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2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2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2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2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2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2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2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2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2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2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2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2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2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2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2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2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2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2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2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2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2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2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2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2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2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2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2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2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2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2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2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2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2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2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2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2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2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2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2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2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2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2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2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2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2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2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2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2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2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2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2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2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2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2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2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2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2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2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2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2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2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2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2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2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2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2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2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2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2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2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2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2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2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2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2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2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2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2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2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2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2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2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2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2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2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2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2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2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2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2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2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2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2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2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2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2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2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2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2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2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2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2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2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2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2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2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2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2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2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2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2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2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2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2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2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2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2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2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2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2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2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2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2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2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2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2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2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2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2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2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2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2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2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2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2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2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2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2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2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2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2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2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2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2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2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2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2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2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2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2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2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2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2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2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2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2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2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2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2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2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2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2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2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2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2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2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2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2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2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2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2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2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2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2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2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2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2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2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2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2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2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2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2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2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2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2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2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2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2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2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2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2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2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2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2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2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2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2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2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2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2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2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2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2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2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2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2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2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2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2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2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2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2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2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2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2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2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2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2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2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2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2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2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2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2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2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2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2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2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2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2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2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2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2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2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2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2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2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2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2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2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2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2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2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2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2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2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2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2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2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2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2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2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2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2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2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2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2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2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2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2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2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2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2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2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2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2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2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2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2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2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2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2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2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2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2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2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2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2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2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2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2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2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2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2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2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2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2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2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2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2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2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2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2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2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2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2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2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2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2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2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2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2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2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2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2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2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2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2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2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2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2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2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2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2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2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2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2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2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2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2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2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2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2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2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2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2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2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2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2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2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2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2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2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2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2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2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2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2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2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2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2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2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2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2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2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2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2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2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2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2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2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2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2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2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2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2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2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2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2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2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2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2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2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2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2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2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2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2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2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2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2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2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2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2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2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2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2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2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2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2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2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2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2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2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2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2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2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2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2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2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2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2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2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2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2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2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2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2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2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2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2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2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2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2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2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2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2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2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2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2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2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2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2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2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2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2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2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2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2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2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2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2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2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2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2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2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2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2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2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2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2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2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2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2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2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2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2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2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2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2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2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2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2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2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2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2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2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2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2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2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2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2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2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2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2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2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2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2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2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2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2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2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2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2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2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2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2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2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2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2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2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2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2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2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2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2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2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2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2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2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2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2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2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2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2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2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2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2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2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2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1107</v>
      </c>
      <c r="D1" t="s">
        <v>1108</v>
      </c>
      <c r="E1" t="s">
        <v>1109</v>
      </c>
      <c r="F1" t="s">
        <v>1110</v>
      </c>
      <c r="G1" t="s">
        <v>1111</v>
      </c>
      <c r="H1" t="s">
        <v>1112</v>
      </c>
      <c r="I1" t="s">
        <v>1113</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2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2023-11-14T14:55:00Z</dcterms:modified>
</cp:coreProperties>
</file>