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updateLinks="never" codeName="ThisWorkbook" defaultThemeVersion="166925"/>
  <xr:revisionPtr revIDLastSave="0" documentId="13_ncr:1_{D35A0F73-F14F-42B6-98F4-7929091DB094}"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controlTables!$D$239</definedName>
    <definedName name="k_coMillions">controlTables!$D$240</definedName>
    <definedName name="k_coThousands">controlTables!$D$241</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controlTables!$D$21:$D$32</definedName>
    <definedName name="SectorDropDown_1">controlTables!$D$21:$D$39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5" i="24" l="1" a="1"/>
  <c r="I85" i="24" s="1"/>
  <c r="I86" i="24" a="1"/>
  <c r="I86" i="24" s="1"/>
  <c r="I87" i="24" a="1"/>
  <c r="I87" i="24" s="1"/>
  <c r="I88" i="24" a="1"/>
  <c r="I88" i="24" s="1"/>
  <c r="I89" i="24" a="1"/>
  <c r="I89" i="24" s="1"/>
  <c r="I90" i="24" a="1"/>
  <c r="I90" i="24" s="1"/>
  <c r="I91" i="24" a="1"/>
  <c r="I91" i="24" s="1"/>
  <c r="I92" i="24" a="1"/>
  <c r="I92" i="24"/>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4" i="24" a="1"/>
  <c r="I114" i="24"/>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H115" i="24"/>
  <c r="H116" i="24"/>
  <c r="H117" i="24"/>
  <c r="B115" i="24"/>
  <c r="B116" i="24"/>
  <c r="B117" i="24"/>
  <c r="B67" i="24"/>
  <c r="B35" i="24"/>
  <c r="K35" i="24" a="1"/>
  <c r="K35" i="24" s="1"/>
  <c r="L35" i="24" a="1"/>
  <c r="L35" i="24" s="1"/>
  <c r="M35" i="24" a="1"/>
  <c r="M35" i="24" s="1"/>
  <c r="B204" i="24"/>
  <c r="B205" i="24"/>
  <c r="B157" i="24"/>
  <c r="P157" i="24"/>
  <c r="B158" i="24"/>
  <c r="P158" i="24"/>
  <c r="B159" i="24"/>
  <c r="P159" i="24"/>
  <c r="B160" i="24"/>
  <c r="P160" i="24"/>
  <c r="B161" i="24"/>
  <c r="P161" i="24"/>
  <c r="B112" i="24"/>
  <c r="H112" i="24"/>
  <c r="B113" i="24"/>
  <c r="H113" i="24"/>
  <c r="B114" i="24"/>
  <c r="H114" i="24"/>
  <c r="B66" i="24"/>
  <c r="B36" i="24"/>
  <c r="K36" i="24" a="1"/>
  <c r="K36" i="24" s="1"/>
  <c r="L36" i="24" a="1"/>
  <c r="L36" i="24" s="1"/>
  <c r="M36" i="24" a="1"/>
  <c r="M36" i="24" s="1"/>
  <c r="C262" i="24"/>
  <c r="C263" i="24"/>
  <c r="C264" i="24"/>
  <c r="C265" i="24"/>
  <c r="C266" i="24"/>
  <c r="C267" i="24"/>
  <c r="C268" i="24"/>
  <c r="C269" i="24"/>
  <c r="C270" i="24"/>
  <c r="C271" i="24"/>
  <c r="C272" i="24"/>
  <c r="C273" i="24"/>
  <c r="C274" i="24"/>
  <c r="C275" i="24"/>
  <c r="F17" i="43"/>
  <c r="D290" i="24"/>
  <c r="D291" i="24"/>
  <c r="D292" i="24"/>
  <c r="D293" i="24"/>
  <c r="D294" i="24"/>
  <c r="D295" i="24"/>
  <c r="D296" i="24"/>
  <c r="H85" i="24"/>
  <c r="H86" i="24"/>
  <c r="H87" i="24"/>
  <c r="H88" i="24"/>
  <c r="H89" i="24"/>
  <c r="H90" i="24"/>
  <c r="H91" i="24"/>
  <c r="H92" i="24"/>
  <c r="H93" i="24"/>
  <c r="H94" i="24"/>
  <c r="H95" i="24"/>
  <c r="H96" i="24"/>
  <c r="H97" i="24"/>
  <c r="H98" i="24"/>
  <c r="H99" i="24"/>
  <c r="H100" i="24"/>
  <c r="H101" i="24"/>
  <c r="H102" i="24"/>
  <c r="H103" i="24"/>
  <c r="H104" i="24"/>
  <c r="H105" i="24"/>
  <c r="H106" i="24"/>
  <c r="H107" i="24"/>
  <c r="H108" i="24"/>
  <c r="H109" i="24"/>
  <c r="H110" i="24"/>
  <c r="H111" i="24"/>
  <c r="H118" i="24"/>
  <c r="H119" i="24"/>
  <c r="H120" i="24"/>
  <c r="H121" i="24"/>
  <c r="H122" i="24"/>
  <c r="H123" i="24"/>
  <c r="H124" i="24"/>
  <c r="H125" i="24"/>
  <c r="H126" i="24"/>
  <c r="H127" i="24"/>
  <c r="H128" i="24"/>
  <c r="H129" i="24"/>
  <c r="H130" i="24"/>
  <c r="H131" i="24"/>
  <c r="H132" i="24"/>
  <c r="B221" i="24"/>
  <c r="H35" i="24"/>
  <c r="H36" i="24"/>
  <c r="J35" i="24" l="1"/>
  <c r="J36" i="24"/>
  <c r="B222" i="24"/>
  <c r="B223" i="24"/>
  <c r="B195" i="24" l="1"/>
  <c r="B196" i="24"/>
  <c r="B17" i="43" l="1"/>
  <c r="B249" i="24"/>
  <c r="B248" i="24"/>
  <c r="F16" i="43"/>
  <c r="B16" i="43"/>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B326" i="24"/>
  <c r="B327" i="24"/>
  <c r="B328" i="24"/>
  <c r="B329" i="24"/>
  <c r="B330" i="24"/>
  <c r="B331" i="24"/>
  <c r="B332" i="24"/>
  <c r="B333" i="24"/>
  <c r="B334" i="24"/>
  <c r="B335" i="24"/>
  <c r="B336" i="24"/>
  <c r="B337" i="24"/>
  <c r="B338" i="24"/>
  <c r="B339" i="24"/>
  <c r="B340" i="24"/>
  <c r="B341" i="24"/>
  <c r="B342" i="24"/>
  <c r="B343" i="24"/>
  <c r="B344" i="24"/>
  <c r="B345" i="24"/>
  <c r="B346" i="24"/>
  <c r="B347" i="24"/>
  <c r="B348" i="24"/>
  <c r="B349" i="24"/>
  <c r="B350" i="24"/>
  <c r="B225" i="24"/>
  <c r="C13" i="24"/>
  <c r="K17" i="43" a="1"/>
  <c r="C14" i="24"/>
  <c r="G17" i="43" a="1"/>
  <c r="K16" i="43" a="1"/>
  <c r="H16" i="43"/>
  <c r="H17" i="43"/>
  <c r="J17" i="43" a="1"/>
  <c r="K17" i="43" l="1"/>
  <c r="J17" i="43"/>
  <c r="G17" i="43"/>
  <c r="I17" i="43" s="1"/>
  <c r="K16" i="43"/>
  <c r="B224" i="24"/>
  <c r="B162" i="24"/>
  <c r="P162" i="24"/>
  <c r="B68" i="24"/>
  <c r="M37" i="24" a="1"/>
  <c r="M37" i="24" s="1"/>
  <c r="B37" i="24"/>
  <c r="K37" i="24" a="1"/>
  <c r="K37" i="24" s="1"/>
  <c r="L37" i="24" a="1"/>
  <c r="L37" i="24" s="1"/>
  <c r="B118" i="24"/>
  <c r="J16" i="43" a="1"/>
  <c r="H37" i="24"/>
  <c r="G16" i="43" a="1"/>
  <c r="J37" i="24" l="1"/>
  <c r="G16" i="43"/>
  <c r="I16" i="43" s="1"/>
  <c r="J16" i="43"/>
  <c r="L16" i="43" s="1"/>
  <c r="L17" i="43"/>
  <c r="B174" i="24" l="1"/>
  <c r="P174" i="24"/>
  <c r="B175" i="24"/>
  <c r="P175" i="24"/>
  <c r="B176" i="24"/>
  <c r="P176" i="24"/>
  <c r="B128" i="24"/>
  <c r="B74" i="24"/>
  <c r="M43" i="24" a="1"/>
  <c r="M43" i="24" s="1"/>
  <c r="B43" i="24"/>
  <c r="K43" i="24" a="1"/>
  <c r="K43" i="24" s="1"/>
  <c r="L43" i="24" a="1"/>
  <c r="L43" i="24" s="1"/>
  <c r="B42" i="24"/>
  <c r="H43" i="24"/>
  <c r="J43"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K23" i="24" a="1"/>
  <c r="K23" i="24" s="1"/>
  <c r="B95" i="24"/>
  <c r="B96" i="24"/>
  <c r="B24" i="24"/>
  <c r="B21" i="24"/>
  <c r="B22" i="24"/>
  <c r="B26" i="24"/>
  <c r="B27" i="24"/>
  <c r="B28" i="24"/>
  <c r="B29" i="24"/>
  <c r="B30" i="24"/>
  <c r="B23" i="24"/>
  <c r="B31" i="24"/>
  <c r="B32" i="24"/>
  <c r="B33" i="24"/>
  <c r="B34" i="24"/>
  <c r="B38" i="24"/>
  <c r="B39" i="24"/>
  <c r="B40" i="24"/>
  <c r="B41" i="24"/>
  <c r="B44" i="24"/>
  <c r="B45" i="24"/>
  <c r="B46" i="24"/>
  <c r="B47" i="24"/>
  <c r="B25" i="24"/>
  <c r="B140" i="24"/>
  <c r="P140" i="24"/>
  <c r="B88" i="24"/>
  <c r="B89" i="24"/>
  <c r="B90" i="24"/>
  <c r="B54" i="24"/>
  <c r="M23" i="24" a="1"/>
  <c r="M23" i="24" s="1"/>
  <c r="L23" i="24" a="1"/>
  <c r="L23" i="24" s="1"/>
  <c r="H15" i="43"/>
  <c r="H23" i="24"/>
  <c r="J15" i="43" a="1"/>
  <c r="J23" i="24" l="1"/>
  <c r="I15" i="43"/>
  <c r="J15" i="43"/>
  <c r="L15" i="43" s="1"/>
  <c r="B207" i="24"/>
  <c r="B203" i="24"/>
  <c r="B146" i="24"/>
  <c r="P146" i="24"/>
  <c r="B145" i="24"/>
  <c r="P145" i="24"/>
  <c r="B93" i="24"/>
  <c r="B56" i="24"/>
  <c r="C4" i="24"/>
  <c r="H25" i="24"/>
  <c r="J25" i="24" l="1"/>
  <c r="K25" i="24" a="1"/>
  <c r="K25" i="24" s="1"/>
  <c r="L25" i="24" a="1"/>
  <c r="L25" i="24" s="1"/>
  <c r="M25" i="24" a="1"/>
  <c r="M25" i="24" s="1"/>
  <c r="K34" i="24" a="1"/>
  <c r="K34" i="24" s="1"/>
  <c r="L34" i="24" a="1"/>
  <c r="L34" i="24" s="1"/>
  <c r="K24" i="24" a="1"/>
  <c r="K24" i="24" s="1"/>
  <c r="L24" i="24" a="1"/>
  <c r="L24" i="24" s="1"/>
  <c r="P141" i="24"/>
  <c r="P142" i="24"/>
  <c r="P143" i="24"/>
  <c r="P144" i="24"/>
  <c r="B141" i="24"/>
  <c r="B142" i="24"/>
  <c r="B143" i="24"/>
  <c r="B144" i="24"/>
  <c r="B92" i="24"/>
  <c r="B91" i="24"/>
  <c r="B55" i="24"/>
  <c r="M24" i="24" a="1"/>
  <c r="M24" i="24" s="1"/>
  <c r="B147" i="24"/>
  <c r="P147" i="24"/>
  <c r="B94" i="24"/>
  <c r="B57" i="24"/>
  <c r="B65" i="24"/>
  <c r="B111" i="24"/>
  <c r="B156" i="24"/>
  <c r="P156" i="24"/>
  <c r="M26" i="24" a="1"/>
  <c r="M26" i="24" s="1"/>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34" i="24"/>
  <c r="G14" i="43" a="1"/>
  <c r="H24" i="24"/>
  <c r="K14" i="43" a="1"/>
  <c r="H26" i="24"/>
  <c r="J26" i="24" l="1"/>
  <c r="J34" i="24"/>
  <c r="J24" i="24"/>
  <c r="M34" i="24" a="1"/>
  <c r="M34" i="24" s="1"/>
  <c r="G14" i="43"/>
  <c r="K14" i="43"/>
  <c r="H14" i="43"/>
  <c r="J14" i="43" a="1"/>
  <c r="I14" i="43" l="1"/>
  <c r="J14" i="43"/>
  <c r="L14" i="43" s="1"/>
  <c r="L46" i="24" a="1"/>
  <c r="L46" i="24" s="1"/>
  <c r="K46" i="24" a="1"/>
  <c r="K46" i="24" s="1"/>
  <c r="B268" i="24"/>
  <c r="B181" i="24"/>
  <c r="P181" i="24"/>
  <c r="B131" i="24"/>
  <c r="B77" i="24"/>
  <c r="M46" i="24" a="1"/>
  <c r="M46" i="24" s="1"/>
  <c r="H46" i="24"/>
  <c r="J46" i="24" l="1"/>
  <c r="L32" i="24" a="1"/>
  <c r="L32" i="24" s="1"/>
  <c r="L33" i="24" a="1"/>
  <c r="L33" i="24" s="1"/>
  <c r="L38" i="24" a="1"/>
  <c r="L38" i="24" s="1"/>
  <c r="L39" i="24" a="1"/>
  <c r="L39" i="24" s="1"/>
  <c r="L40" i="24" a="1"/>
  <c r="L40" i="24" s="1"/>
  <c r="L41" i="24" a="1"/>
  <c r="L41" i="24" s="1"/>
  <c r="L42" i="24" a="1"/>
  <c r="L42" i="24" s="1"/>
  <c r="L44" i="24" a="1"/>
  <c r="L44" i="24" s="1"/>
  <c r="L45" i="24" a="1"/>
  <c r="L45" i="24" s="1"/>
  <c r="L47" i="24" a="1"/>
  <c r="L47" i="24" s="1"/>
  <c r="K32" i="24" a="1"/>
  <c r="K32" i="24" s="1"/>
  <c r="B269" i="24"/>
  <c r="B154" i="24"/>
  <c r="P154" i="24"/>
  <c r="B109" i="24"/>
  <c r="B63" i="24"/>
  <c r="M32" i="24" a="1"/>
  <c r="M32" i="24" s="1"/>
  <c r="H32" i="24"/>
  <c r="J32" i="24" l="1"/>
  <c r="B13" i="43"/>
  <c r="F13" i="43"/>
  <c r="H283" i="24"/>
  <c r="H284" i="24"/>
  <c r="B284" i="24"/>
  <c r="B283" i="24"/>
  <c r="B282" i="24"/>
  <c r="B281" i="24"/>
  <c r="C10" i="24"/>
  <c r="C7" i="24"/>
  <c r="G13" i="43" a="1"/>
  <c r="C6" i="24"/>
  <c r="C12" i="24"/>
  <c r="K13" i="43" a="1"/>
  <c r="C9" i="24"/>
  <c r="C3" i="24"/>
  <c r="C11" i="24"/>
  <c r="C8" i="24"/>
  <c r="K13" i="43" l="1"/>
  <c r="G13" i="43"/>
  <c r="C2" i="24"/>
  <c r="J13" i="43" a="1"/>
  <c r="H13" i="43"/>
  <c r="I13" i="43" l="1"/>
  <c r="J13" i="43"/>
  <c r="L13" i="43" s="1"/>
  <c r="B215" i="24" l="1"/>
  <c r="B139" i="24"/>
  <c r="P139" i="24"/>
  <c r="B53" i="24"/>
  <c r="M22" i="24" a="1"/>
  <c r="M22" i="24" s="1"/>
  <c r="B87" i="24"/>
  <c r="K22" i="24" a="1"/>
  <c r="K22" i="24" s="1"/>
  <c r="L22" i="24" a="1"/>
  <c r="L22" i="24" s="1"/>
  <c r="H22" i="24"/>
  <c r="J22" i="24" l="1"/>
  <c r="B73" i="24"/>
  <c r="M42" i="24" a="1"/>
  <c r="M42" i="24" s="1"/>
  <c r="B197" i="24"/>
  <c r="B206" i="24"/>
  <c r="B172" i="24"/>
  <c r="B171" i="24"/>
  <c r="P172" i="24"/>
  <c r="P171" i="24"/>
  <c r="B213" i="24"/>
  <c r="B212" i="24"/>
  <c r="B214" i="24"/>
  <c r="B173" i="24"/>
  <c r="P173" i="24"/>
  <c r="K42" i="24" a="1"/>
  <c r="K42" i="24" s="1"/>
  <c r="B127" i="24"/>
  <c r="H42" i="24"/>
  <c r="J42" i="24" l="1"/>
  <c r="P179"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38" i="24" a="1"/>
  <c r="K38" i="24" s="1"/>
  <c r="K39" i="24" a="1"/>
  <c r="K39" i="24" s="1"/>
  <c r="K40" i="24" a="1"/>
  <c r="K40" i="24" s="1"/>
  <c r="K41" i="24" a="1"/>
  <c r="K41" i="24" s="1"/>
  <c r="K44" i="24" a="1"/>
  <c r="K44" i="24" s="1"/>
  <c r="K45" i="24" a="1"/>
  <c r="K45" i="24" s="1"/>
  <c r="K47" i="24" a="1"/>
  <c r="K47" i="24" s="1"/>
  <c r="B12" i="43" l="1"/>
  <c r="F12" i="43"/>
  <c r="K12" i="43" a="1"/>
  <c r="J12" i="43" a="1"/>
  <c r="J12" i="43" l="1"/>
  <c r="K12" i="43"/>
  <c r="B270" i="24"/>
  <c r="B271" i="24"/>
  <c r="B272" i="24"/>
  <c r="B273" i="24"/>
  <c r="B274" i="24"/>
  <c r="B275" i="24"/>
  <c r="G12" i="43" a="1"/>
  <c r="G12" i="43" l="1"/>
  <c r="L12" i="43"/>
  <c r="B86" i="24" l="1"/>
  <c r="B11" i="43"/>
  <c r="F11" i="43"/>
  <c r="B233" i="24"/>
  <c r="B232" i="24"/>
  <c r="B231" i="24"/>
  <c r="K11" i="43" a="1"/>
  <c r="J11" i="43" a="1"/>
  <c r="J11" i="43" l="1"/>
  <c r="M11" i="43" s="1"/>
  <c r="K11" i="43"/>
  <c r="B192" i="24"/>
  <c r="B211" i="24"/>
  <c r="B217" i="24"/>
  <c r="B202" i="24"/>
  <c r="G11" i="43" a="1"/>
  <c r="H11" i="43"/>
  <c r="G11" i="43" l="1"/>
  <c r="I11" i="43" s="1"/>
  <c r="L11" i="43"/>
  <c r="B10" i="43"/>
  <c r="F10" i="43"/>
  <c r="B9" i="43"/>
  <c r="F9" i="43"/>
  <c r="M21" i="24" a="1"/>
  <c r="M21" i="24" s="1"/>
  <c r="M27" i="24" a="1"/>
  <c r="M27" i="24" s="1"/>
  <c r="M28" i="24" a="1"/>
  <c r="M28" i="24" s="1"/>
  <c r="M30" i="24" a="1"/>
  <c r="M30" i="24" s="1"/>
  <c r="M29" i="24" a="1"/>
  <c r="M29" i="24" s="1"/>
  <c r="M31" i="24" a="1"/>
  <c r="M31" i="24" s="1"/>
  <c r="M33" i="24" a="1"/>
  <c r="M33" i="24" s="1"/>
  <c r="M38" i="24" a="1"/>
  <c r="M38" i="24" s="1"/>
  <c r="M39" i="24" a="1"/>
  <c r="M39" i="24" s="1"/>
  <c r="M40" i="24" a="1"/>
  <c r="M40" i="24" s="1"/>
  <c r="M41" i="24" a="1"/>
  <c r="M41" i="24" s="1"/>
  <c r="M44" i="24" a="1"/>
  <c r="M44" i="24" s="1"/>
  <c r="M45" i="24" a="1"/>
  <c r="M45" i="24" s="1"/>
  <c r="M47" i="24" a="1"/>
  <c r="M47" i="24" s="1"/>
  <c r="B60" i="24"/>
  <c r="B62" i="24"/>
  <c r="B64" i="24"/>
  <c r="B69" i="24"/>
  <c r="B70" i="24"/>
  <c r="B71" i="24"/>
  <c r="B72" i="24"/>
  <c r="B75" i="24"/>
  <c r="B76" i="24"/>
  <c r="B78" i="24"/>
  <c r="B194" i="24"/>
  <c r="H33" i="24"/>
  <c r="H28" i="24"/>
  <c r="H39" i="24"/>
  <c r="G10" i="43" a="1"/>
  <c r="H27" i="24"/>
  <c r="H41" i="24"/>
  <c r="H21" i="24"/>
  <c r="K9" i="43" a="1"/>
  <c r="K10" i="43" a="1"/>
  <c r="H40" i="24"/>
  <c r="H31" i="24"/>
  <c r="H38" i="24"/>
  <c r="H45" i="24"/>
  <c r="H29" i="24"/>
  <c r="H44" i="24"/>
  <c r="H47" i="24"/>
  <c r="C5" i="24"/>
  <c r="H30" i="24"/>
  <c r="J9" i="43" a="1"/>
  <c r="J45" i="24" l="1"/>
  <c r="J40" i="24"/>
  <c r="J44" i="24"/>
  <c r="J33" i="24"/>
  <c r="J39" i="24"/>
  <c r="J29" i="24"/>
  <c r="J28" i="24"/>
  <c r="J38" i="24"/>
  <c r="J41" i="24"/>
  <c r="J31" i="24"/>
  <c r="J27" i="24"/>
  <c r="J47" i="24"/>
  <c r="J21" i="24"/>
  <c r="J30" i="24"/>
  <c r="K10" i="43"/>
  <c r="G10" i="43"/>
  <c r="K9" i="43"/>
  <c r="J9" i="43"/>
  <c r="G9" i="43" a="1"/>
  <c r="J10" i="43" a="1"/>
  <c r="G9" i="43" l="1"/>
  <c r="L9" i="43"/>
  <c r="J10" i="43"/>
  <c r="L10" i="43" s="1"/>
  <c r="B97" i="24" l="1"/>
  <c r="B98" i="24"/>
  <c r="B99" i="24"/>
  <c r="B104" i="24"/>
  <c r="B105" i="24"/>
  <c r="B100" i="24"/>
  <c r="B101" i="24"/>
  <c r="B102" i="24"/>
  <c r="B103" i="24"/>
  <c r="B106" i="24"/>
  <c r="B107" i="24"/>
  <c r="B108" i="24"/>
  <c r="B110" i="24"/>
  <c r="B119" i="24"/>
  <c r="B120" i="24"/>
  <c r="B121" i="24"/>
  <c r="B122" i="24"/>
  <c r="B123" i="24"/>
  <c r="B124" i="24"/>
  <c r="B125" i="24"/>
  <c r="B126" i="24"/>
  <c r="B129" i="24"/>
  <c r="B130" i="24"/>
  <c r="B132" i="24"/>
  <c r="B85" i="24"/>
  <c r="G22" i="24" a="1"/>
  <c r="G33" i="24" a="1"/>
  <c r="G24" i="24" a="1"/>
  <c r="G34" i="24" a="1"/>
  <c r="G39" i="24" a="1"/>
  <c r="G21" i="24" a="1"/>
  <c r="G30" i="24" a="1"/>
  <c r="G47" i="24" a="1"/>
  <c r="G38" i="24" a="1"/>
  <c r="G42" i="24" a="1"/>
  <c r="G28" i="24" a="1"/>
  <c r="G43" i="24" a="1"/>
  <c r="G26" i="24" a="1"/>
  <c r="G25" i="24" a="1"/>
  <c r="G35" i="24" a="1"/>
  <c r="G40" i="24" a="1"/>
  <c r="G45" i="24" a="1"/>
  <c r="G23" i="24" a="1"/>
  <c r="G32" i="24" a="1"/>
  <c r="G36" i="24" a="1"/>
  <c r="G27" i="24" a="1"/>
  <c r="G37" i="24" a="1"/>
  <c r="G41" i="24" a="1"/>
  <c r="G46" i="24" a="1"/>
  <c r="G44" i="24" a="1"/>
  <c r="G31" i="24" a="1"/>
  <c r="G29" i="24" a="1"/>
  <c r="G35" i="24" l="1"/>
  <c r="G36" i="24"/>
  <c r="G37" i="24"/>
  <c r="G43" i="24"/>
  <c r="G23" i="24"/>
  <c r="G25" i="24"/>
  <c r="G34" i="24"/>
  <c r="G24" i="24"/>
  <c r="G26" i="24"/>
  <c r="G46" i="24"/>
  <c r="G32" i="24"/>
  <c r="G22" i="24"/>
  <c r="G42" i="24"/>
  <c r="G45" i="24"/>
  <c r="G28" i="24"/>
  <c r="G33" i="24"/>
  <c r="G41" i="24"/>
  <c r="G30" i="24"/>
  <c r="G44" i="24"/>
  <c r="G47" i="24"/>
  <c r="G38" i="24"/>
  <c r="G21" i="24"/>
  <c r="G29" i="24"/>
  <c r="G39" i="24"/>
  <c r="G27" i="24"/>
  <c r="G31" i="24"/>
  <c r="G40" i="24"/>
  <c r="B8" i="43"/>
  <c r="F8" i="43"/>
  <c r="B7" i="43"/>
  <c r="F7" i="43"/>
  <c r="B6" i="43"/>
  <c r="F6" i="43"/>
  <c r="B5" i="43"/>
  <c r="F5" i="43"/>
  <c r="B210" i="24"/>
  <c r="B191" i="24"/>
  <c r="B193" i="24"/>
  <c r="B219" i="24"/>
  <c r="B216" i="24"/>
  <c r="B218" i="24"/>
  <c r="B220" i="24"/>
  <c r="F4" i="43"/>
  <c r="K7" i="43" a="1"/>
  <c r="G4" i="43" a="1"/>
  <c r="G7" i="43" a="1"/>
  <c r="K6" i="43" a="1"/>
  <c r="G8" i="43" a="1"/>
  <c r="K5" i="43" a="1"/>
  <c r="K8" i="43" a="1"/>
  <c r="G5" i="43" a="1"/>
  <c r="G6" i="43" a="1"/>
  <c r="G5" i="43" l="1"/>
  <c r="G8" i="43"/>
  <c r="K8" i="43"/>
  <c r="G7" i="43"/>
  <c r="K7" i="43"/>
  <c r="G6" i="43"/>
  <c r="K6" i="43"/>
  <c r="K5" i="43"/>
  <c r="G4" i="43"/>
  <c r="J5" i="43" a="1"/>
  <c r="J6" i="43" a="1"/>
  <c r="J7" i="43" a="1"/>
  <c r="J8" i="43" a="1"/>
  <c r="J4" i="43" a="1"/>
  <c r="J4" i="43" l="1"/>
  <c r="M4" i="43" s="1" a="1"/>
  <c r="M4" i="43" s="1"/>
  <c r="J5" i="43"/>
  <c r="M5" i="43" s="1"/>
  <c r="J8" i="43"/>
  <c r="J7" i="43"/>
  <c r="J6" i="43"/>
  <c r="L6" i="43" s="1"/>
  <c r="L5" i="43" l="1"/>
  <c r="L8" i="43"/>
  <c r="L7" i="43"/>
  <c r="P137" i="24"/>
  <c r="P138" i="24"/>
  <c r="P148" i="24"/>
  <c r="P149" i="24"/>
  <c r="P151" i="24"/>
  <c r="P152" i="24"/>
  <c r="P150" i="24"/>
  <c r="P153" i="24"/>
  <c r="P155" i="24"/>
  <c r="P163" i="24"/>
  <c r="P164" i="24"/>
  <c r="P165" i="24"/>
  <c r="P166" i="24"/>
  <c r="P167" i="24"/>
  <c r="P168" i="24"/>
  <c r="P169" i="24"/>
  <c r="P170" i="24"/>
  <c r="P177" i="24"/>
  <c r="P178" i="24"/>
  <c r="P180" i="24"/>
  <c r="P182" i="24"/>
  <c r="P183" i="24"/>
  <c r="P184" i="24"/>
  <c r="N170" i="24"/>
  <c r="B209" i="24"/>
  <c r="B170" i="24"/>
  <c r="B177" i="24"/>
  <c r="B150" i="24"/>
  <c r="B153" i="24"/>
  <c r="B155" i="24"/>
  <c r="B163" i="24"/>
  <c r="B164" i="24"/>
  <c r="B149" i="24"/>
  <c r="B148" i="24"/>
  <c r="B180" i="24" l="1"/>
  <c r="B178" i="24"/>
  <c r="B179" i="24"/>
  <c r="B138" i="24"/>
  <c r="B137" i="24"/>
  <c r="B199" i="24"/>
  <c r="B201" i="24"/>
  <c r="B200" i="24"/>
  <c r="H5" i="43"/>
  <c r="I5" i="43" l="1"/>
  <c r="D239" i="24" l="1"/>
  <c r="D240" i="24"/>
  <c r="B241" i="24"/>
  <c r="B240" i="24"/>
  <c r="B239" i="24"/>
  <c r="B208" i="24" l="1"/>
  <c r="B198" i="24"/>
  <c r="B190" i="24"/>
  <c r="H8" i="43"/>
  <c r="I8" i="43" l="1"/>
  <c r="B184" i="24" l="1"/>
  <c r="B182" i="24"/>
  <c r="B183" i="24"/>
  <c r="B166" i="24"/>
  <c r="B169" i="24"/>
  <c r="B165" i="24"/>
  <c r="B168" i="24"/>
  <c r="B167" i="24"/>
  <c r="B151" i="24"/>
  <c r="B152" i="24"/>
  <c r="I37" i="24" a="1"/>
  <c r="I30" i="24" a="1"/>
  <c r="I40" i="24" a="1"/>
  <c r="I33" i="24" a="1"/>
  <c r="I25" i="24" a="1"/>
  <c r="I34" i="24" a="1"/>
  <c r="I38" i="24" a="1"/>
  <c r="I27" i="24" a="1"/>
  <c r="I42" i="24" a="1"/>
  <c r="I47" i="24" a="1"/>
  <c r="I44" i="24" a="1"/>
  <c r="I36" i="24" a="1"/>
  <c r="I46" i="24" a="1"/>
  <c r="I28" i="24" a="1"/>
  <c r="I39" i="24" a="1"/>
  <c r="I26" i="24" a="1"/>
  <c r="I21" i="24" a="1"/>
  <c r="I45" i="24" a="1"/>
  <c r="H7" i="43"/>
  <c r="I41" i="24" a="1"/>
  <c r="I24" i="24" a="1"/>
  <c r="I43" i="24" a="1"/>
  <c r="I29" i="24" a="1"/>
  <c r="I32" i="24" a="1"/>
  <c r="I35" i="24" a="1"/>
  <c r="I22" i="24" a="1"/>
  <c r="I31" i="24" a="1"/>
  <c r="I35" i="24" l="1"/>
  <c r="I36" i="24"/>
  <c r="I37" i="24"/>
  <c r="I43" i="24"/>
  <c r="I25" i="24"/>
  <c r="I34" i="24"/>
  <c r="I24" i="24"/>
  <c r="I26" i="24"/>
  <c r="I46" i="24"/>
  <c r="I32" i="24"/>
  <c r="I22" i="24"/>
  <c r="I42" i="24"/>
  <c r="I38" i="24"/>
  <c r="I30" i="24"/>
  <c r="I41" i="24"/>
  <c r="I28" i="24"/>
  <c r="I44" i="24"/>
  <c r="I33" i="24"/>
  <c r="I47" i="24"/>
  <c r="I27" i="24"/>
  <c r="I45" i="24"/>
  <c r="I40" i="24"/>
  <c r="I31" i="24"/>
  <c r="I39" i="24"/>
  <c r="I29" i="24"/>
  <c r="I21" i="24"/>
  <c r="I7" i="43"/>
  <c r="I23" i="24" a="1"/>
  <c r="I23" i="24" l="1"/>
  <c r="B4" i="43"/>
  <c r="K4" i="43" a="1"/>
  <c r="K4" i="43" l="1"/>
  <c r="L4" i="43" s="1"/>
  <c r="B52" i="24"/>
  <c r="B58" i="24"/>
  <c r="B59" i="24"/>
  <c r="B61" i="24"/>
  <c r="B255" i="24"/>
  <c r="B256" i="24"/>
  <c r="B262" i="24"/>
  <c r="B263" i="24"/>
  <c r="B264" i="24"/>
  <c r="B265" i="24"/>
  <c r="B266" i="24"/>
  <c r="B267" i="24"/>
  <c r="B290" i="24"/>
  <c r="B291" i="24"/>
  <c r="B292" i="24"/>
  <c r="B293" i="24"/>
  <c r="B294" i="24"/>
  <c r="B295" i="24"/>
  <c r="B296" i="24"/>
  <c r="H12" i="43"/>
  <c r="H4" i="43"/>
  <c r="H9" i="43"/>
  <c r="H6" i="43"/>
  <c r="H10"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1"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4"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8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54"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89"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54"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54"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61"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80"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<sst xmlns="http://schemas.openxmlformats.org/spreadsheetml/2006/main" count="1631" uniqueCount="632">
  <si>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</si>
  <si>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</si>
  <si>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</si>
  <si>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</si>
  <si>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</si>
  <si>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</si>
  <si>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</si>
  <si>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</si>
  <si>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</si>
  <si>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</si>
  <si>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</si>
  <si>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</si>
  <si>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</si>
  <si>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</si>
  <si>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</si>
  <si>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</si>
  <si>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</si>
  <si>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</si>
  <si>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</si>
  <si>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</si>
  <si>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</si>
  <si>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</si>
  <si>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</si>
  <si>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</si>
  <si>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</si>
  <si>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</si>
  <si>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</si>
  <si>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</si>
  <si>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</si>
  <si>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</si>
  <si>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</si>
  <si>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</si>
  <si>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</si>
  <si>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</si>
  <si>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</si>
  <si>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</si>
  <si>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</si>
  <si>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</si>
  <si>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</si>
  <si>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</si>
  <si>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</si>
  <si>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</si>
  <si>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</si>
  <si>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</si>
  <si>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</si>
  <si>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</si>
  <si>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</si>
  <si>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</si>
  <si>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</si>
  <si>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</si>
  <si>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</si>
  <si>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</si>
  <si>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</si>
  <si>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</si>
  <si>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</si>
  <si>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</si>
  <si>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</si>
  <si>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</si>
  <si>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</si>
  <si>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</si>
  <si>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</si>
  <si>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</si>
  <si>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</si>
  <si>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</si>
  <si>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</si>
  <si>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</si>
  <si>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</si>
  <si>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</si>
  <si>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</si>
  <si>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</si>
  <si>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</si>
  <si>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</si>
  <si>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</si>
  <si>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</si>
  <si>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</si>
  <si>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</si>
  <si>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</si>
  <si>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</si>
  <si>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</si>
  <si>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</si>
  <si>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</si>
  <si>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</si>
  <si>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</si>
  <si>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</si>
  <si>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</si>
  <si>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</si>
  <si>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</si>
  <si>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</si>
  <si>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</si>
  <si>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</si>
  <si>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</si>
  <si>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</si>
  <si>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</si>
  <si>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</si>
  <si>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</si>
  <si>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</si>
  <si>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</si>
  <si>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</si>
  <si>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</si>
  <si>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</si>
  <si>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</si>
  <si>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</si>
  <si>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</si>
  <si>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</si>
  <si>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</si>
  <si>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</si>
  <si>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</si>
  <si>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</si>
  <si>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</si>
  <si>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</si>
  <si>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</si>
  <si>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</si>
  <si>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</si>
  <si>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</si>
  <si>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</si>
  <si>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</si>
  <si>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</si>
  <si>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</si>
  <si>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</si>
  <si>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</si>
  <si>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</si>
  <si>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</si>
  <si>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</si>
  <si>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</si>
  <si>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</si>
  <si>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</si>
  <si>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</si>
  <si>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</si>
  <si>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</si>
  <si>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</si>
  <si>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</si>
  <si>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</si>
  <si>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</si>
  <si>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</si>
  <si>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</si>
  <si>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</si>
  <si>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</si>
  <si>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</si>
  <si>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</si>
  <si>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</si>
  <si>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</si>
  <si>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</si>
  <si>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</si>
  <si>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</si>
  <si>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</si>
  <si>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</si>
  <si>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</si>
  <si>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</si>
  <si>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</si>
  <si>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</si>
  <si>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</si>
  <si>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</si>
  <si>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</si>
  <si>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</si>
  <si>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</si>
  <si>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</si>
  <si>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</si>
  <si>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</si>
  <si>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</si>
  <si>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</si>
  <si>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</si>
  <si>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</si>
  <si>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</si>
  <si>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</si>
  <si>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</si>
  <si>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</si>
  <si>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</si>
  <si>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</si>
  <si>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</si>
  <si>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</si>
  <si>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</si>
  <si>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</si>
  <si>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</si>
  <si>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</si>
  <si>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</si>
  <si>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</si>
  <si>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</si>
  <si>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</si>
  <si>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</si>
  <si>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</si>
  <si>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</si>
  <si>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</si>
  <si>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</si>
  <si>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</si>
  <si>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</si>
  <si>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</si>
  <si>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</si>
  <si>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</si>
  <si>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</si>
  <si>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</si>
  <si>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</si>
  <si>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</si>
  <si>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</si>
  <si>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</si>
  <si>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</si>
  <si>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</si>
  <si>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</si>
  <si>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</si>
  <si>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</si>
  <si>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</si>
  <si>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</si>
  <si>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</si>
  <si>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</si>
  <si>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</si>
  <si>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</si>
  <si>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</si>
  <si>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</si>
  <si>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</si>
  <si>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</si>
  <si>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</si>
  <si>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</si>
  <si>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</si>
  <si>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</si>
  <si>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</si>
  <si>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</si>
  <si>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</si>
  <si>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</si>
  <si>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</si>
  <si>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</si>
  <si>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</si>
  <si>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</si>
  <si>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</si>
  <si>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</si>
  <si>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</si>
  <si>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</si>
  <si>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</si>
  <si>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</si>
  <si>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</si>
  <si>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</si>
  <si>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</si>
  <si>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</si>
  <si>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</si>
  <si>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</si>
  <si>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</si>
  <si>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</si>
  <si>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</si>
  <si>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</si>
  <si>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</si>
  <si>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</si>
  <si>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</si>
  <si>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</si>
  <si>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</si>
  <si>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</si>
  <si>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</si>
  <si>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</si>
  <si>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</si>
  <si>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</si>
  <si>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</si>
  <si>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</si>
  <si>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</si>
  <si>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</si>
  <si>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</si>
  <si>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</si>
  <si>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</si>
  <si>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</si>
  <si>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</si>
  <si>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</si>
  <si>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</si>
  <si>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</si>
  <si>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</si>
  <si>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</si>
  <si>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</si>
  <si>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</si>
  <si>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</si>
  <si>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</si>
  <si>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</si>
  <si>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</si>
  <si>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</si>
  <si>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</si>
  <si>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</si>
  <si>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</si>
  <si>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</si>
  <si>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</si>
  <si>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</si>
  <si>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</si>
  <si>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</si>
  <si>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</si>
  <si>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</si>
  <si>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</si>
  <si>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</si>
  <si>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</si>
  <si>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</si>
  <si>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</si>
  <si>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</si>
  <si>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</si>
  <si>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</si>
  <si>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</si>
  <si>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</si>
  <si>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</si>
  <si>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</si>
  <si>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</si>
  <si>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</si>
  <si>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</si>
  <si>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</si>
  <si>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</si>
  <si>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</si>
  <si>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</si>
  <si>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</si>
  <si>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</si>
  <si>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</si>
  <si>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</si>
  <si>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</si>
  <si>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</si>
  <si>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</si>
  <si>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</si>
  <si>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</si>
  <si>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</si>
  <si>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</si>
  <si>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</si>
  <si>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</si>
  <si>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</si>
  <si>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</si>
  <si>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</si>
  <si>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</si>
  <si>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</si>
  <si>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</si>
  <si>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</si>
  <si>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</si>
  <si>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</si>
  <si>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</si>
  <si>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</si>
  <si>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</si>
  <si>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</si>
  <si>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</si>
  <si>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</si>
  <si>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</si>
  <si>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</si>
  <si>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</si>
  <si>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</si>
  <si>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</si>
  <si>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</si>
  <si>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</si>
  <si>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</si>
  <si>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</si>
  <si>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</si>
  <si>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</si>
  <si>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</si>
  <si>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</si>
  <si>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</si>
  <si>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</si>
  <si>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</si>
  <si>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</si>
  <si>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</si>
  <si>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</si>
  <si>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</si>
  <si>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</si>
  <si>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</si>
  <si>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</si>
  <si>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</si>
  <si>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</si>
  <si>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</si>
  <si>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</si>
  <si>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</si>
  <si>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</si>
  <si>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</si>
  <si>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</si>
  <si>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</si>
  <si>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</si>
  <si>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</si>
  <si>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</si>
  <si>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</si>
  <si>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</si>
  <si>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</si>
  <si>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</si>
  <si>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</si>
  <si>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</si>
  <si>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</si>
  <si>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</si>
  <si>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</si>
  <si>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</si>
  <si>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</si>
  <si>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</si>
  <si>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</si>
  <si>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</si>
  <si>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</si>
  <si>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</si>
  <si>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</si>
  <si>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</si>
  <si>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</si>
  <si>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</si>
  <si>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</si>
  <si>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</si>
  <si>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</si>
  <si>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</si>
  <si>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</si>
  <si>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</si>
  <si>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</si>
  <si>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</si>
  <si>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</si>
  <si>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</si>
  <si>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</si>
  <si>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</si>
  <si>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</si>
  <si>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</si>
  <si>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</si>
  <si>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</si>
  <si>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</si>
  <si>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</si>
  <si>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</si>
  <si>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</si>
  <si>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</si>
  <si>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</si>
  <si>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</si>
  <si>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</si>
  <si>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</si>
  <si>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</si>
  <si>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</si>
  <si>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</si>
  <si>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</si>
  <si>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</si>
  <si>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</si>
  <si>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</si>
  <si>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</si>
  <si>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</si>
  <si>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</si>
  <si>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</si>
  <si>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</si>
  <si>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</si>
  <si>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</si>
  <si>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</si>
  <si>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</si>
  <si>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</si>
  <si>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</si>
  <si>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</si>
  <si>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</si>
  <si>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</si>
  <si>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</si>
  <si>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</si>
  <si>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</si>
  <si>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</si>
  <si>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</si>
  <si>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</si>
  <si>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</si>
  <si>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</si>
  <si>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</si>
  <si>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</si>
  <si>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</si>
  <si>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</si>
  <si>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</si>
  <si>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</si>
  <si>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</si>
  <si>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</si>
  <si>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</si>
  <si>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</si>
  <si>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</si>
  <si>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</si>
  <si>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</si>
  <si>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</si>
  <si>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</si>
  <si>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</si>
  <si>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</si>
  <si>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</si>
  <si>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</si>
  <si>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</si>
  <si>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</si>
  <si>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</si>
  <si>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</si>
  <si>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</si>
  <si>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</si>
  <si>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</si>
  <si>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</si>
  <si>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</si>
  <si>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</si>
  <si>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</si>
  <si>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</si>
  <si>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</si>
  <si>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</si>
  <si>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</si>
  <si>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</si>
  <si>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</si>
  <si>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</si>
  <si>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</si>
  <si>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</si>
  <si>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</si>
  <si>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</si>
  <si>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</si>
  <si>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</si>
  <si>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</si>
  <si>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</si>
  <si>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</si>
  <si>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</si>
  <si>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</si>
  <si>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</si>
  <si>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</si>
  <si>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</si>
  <si>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</si>
  <si>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</si>
  <si>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</si>
  <si>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</si>
  <si>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</si>
  <si>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</si>
  <si>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</si>
  <si>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</si>
  <si>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</si>
  <si>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</si>
  <si>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</si>
  <si>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</si>
  <si>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</si>
  <si>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</si>
  <si>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</si>
  <si>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</si>
  <si>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</si>
  <si>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</si>
  <si>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</si>
  <si>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</si>
  <si>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</si>
  <si>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</si>
  <si>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</si>
  <si>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</si>
  <si>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</si>
  <si>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</si>
  <si>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</si>
  <si>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</si>
  <si>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</si>
  <si>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</si>
  <si>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</si>
  <si>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</si>
  <si>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</si>
  <si>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</si>
  <si>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</si>
  <si>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</si>
  <si>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</si>
  <si>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</si>
  <si>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</si>
  <si>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</si>
  <si>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</si>
  <si>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</si>
  <si>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</si>
  <si>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</si>
  <si>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</si>
  <si>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</si>
  <si>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</si>
  <si>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</si>
  <si>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</si>
  <si>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</si>
  <si>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</si>
  <si>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</si>
  <si>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</si>
  <si>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</si>
  <si>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</si>
  <si>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</si>
  <si>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</si>
  <si>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</si>
  <si>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</si>
  <si>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</si>
  <si>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</si>
  <si>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</si>
  <si>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</si>
  <si>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</si>
  <si>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</si>
  <si>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</si>
  <si>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</si>
  <si>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</si>
  <si>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</si>
  <si>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</si>
  <si>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</si>
  <si>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</si>
  <si>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</si>
  <si>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</si>
  <si>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</si>
  <si>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</si>
  <si>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</si>
  <si>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</si>
  <si>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</si>
  <si>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</si>
  <si>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</si>
  <si>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</si>
  <si>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</si>
  <si>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</si>
  <si>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</si>
  <si>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</si>
  <si>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</si>
  <si>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</si>
  <si>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</si>
  <si>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</si>
  <si>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</si>
  <si>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</si>
  <si>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</si>
  <si>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</si>
  <si>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</si>
  <si>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</si>
  <si>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</si>
  <si>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</si>
  <si>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</si>
  <si>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</si>
  <si>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</si>
  <si>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</si>
  <si>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</si>
  <si>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</si>
  <si>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</si>
  <si>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</si>
  <si>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</si>
  <si>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</si>
  <si>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</si>
  <si>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</si>
  <si>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</si>
  <si>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</si>
  <si>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</si>
  <si>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</si>
  <si>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</si>
  <si>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</si>
  <si>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</si>
  <si>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</si>
  <si>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</si>
  <si>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</si>
  <si>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</si>
  <si>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</si>
  <si>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</si>
  <si>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</si>
  <si>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</si>
  <si>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</si>
  <si>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</si>
  <si>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</si>
  <si>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</si>
  <si>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</si>
  <si>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</si>
  <si>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</si>
  <si>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</si>
  <si>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unitCost_carbon</t>
  </si>
  <si>
    <t>unitCost_methane</t>
  </si>
  <si>
    <t>Unit Cost of Carbon</t>
  </si>
  <si>
    <t>Unit Cost of Methane</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</si>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</sst>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1">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7">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6"/>
    </tableStyle>
    <tableStyle name="Table Style 2" pivot="0" count="2" xr9:uid="{5906E8DD-1157-4888-9A27-3B2DB57DF7A2}">
      <tableStyleElement type="wholeTable" dxfId="195"/>
      <tableStyleElement type="headerRow" dxfId="1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3">
  <autoFilter ref="B9:C34" xr:uid="{DBDF25E7-D35C-4344-9B72-491345FCBF34}"/>
  <tableColumns count="2">
    <tableColumn id="1" xr3:uid="{306AD3FA-EE0B-4D9C-828A-C0B76198AE0B}" name="Worksheet" dataDxfId="1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1" dataDxfId="190">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89">
      <calculatedColumnFormula xml:space="preserve"> ROW( doc_tablesList[[#This Row],[ID]] ) - ROW(doc_tablesList[[#Headers],[ID]] )</calculatedColumnFormula>
    </tableColumn>
    <tableColumn id="2" xr3:uid="{238E4D6F-DBDF-41A4-8350-E77587A7D4B3}" name="Table Name" dataDxfId="188"/>
    <tableColumn id="8" xr3:uid="{D46F7497-B3FD-485E-91E8-C8117D6673FA}" name="Import" dataDxfId="187"/>
    <tableColumn id="3" xr3:uid="{39F2BFBD-30E6-473D-B9E5-9F407D5928C3}" name="Worksheet" dataDxfId="186"/>
    <tableColumn id="9" xr3:uid="{507E67A6-0C2B-4342-A04B-6A8E615993E3}" name="ID_columnName" dataDxfId="185">
      <calculatedColumnFormula xml:space="preserve"> "row_id"</calculatedColumnFormula>
    </tableColumn>
    <tableColumn id="4" xr3:uid="{961C935C-163D-4860-BA16-6CB492916203}" name="Header Row" dataDxfId="1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3">
      <calculatedColumnFormula xml:space="preserve"> MAX( INDIRECT( _xlfn.TEXTJOIN( "", , doc_tablesList[[#This Row],[Table Name]], "[", doc_tablesList[[#This Row],[ID_columnName]], "]" ) ) )</calculatedColumnFormula>
    </tableColumn>
    <tableColumn id="13" xr3:uid="{F53E64F1-7445-4927-A376-2FB765265648}" name="Last Row" dataDxfId="182">
      <calculatedColumnFormula xml:space="preserve"> doc_tablesList[[#This Row],[Number of Data Rows]] + doc_tablesList[[#This Row],[Header Row]]</calculatedColumnFormula>
    </tableColumn>
    <tableColumn id="6" xr3:uid="{86A51CF5-A3BA-4019-9C90-7A94C7FBA534}" name="id_colIndex" dataDxfId="181">
      <calculatedColumnFormula array="1" xml:space="preserve"> INDEX( COLUMN( INDIRECT( doc_tablesList[[#This Row],[Table Name]] &amp; "[" &amp; doc_tablesList[[#This Row],[ID_columnName]] &amp; "]" ) ), 1 )</calculatedColumnFormula>
    </tableColumn>
    <tableColumn id="7" xr3:uid="{DD29767F-0B22-4C97-9012-467EF6380323}" name="last_colIndex" dataDxfId="180">
      <calculatedColumnFormula array="1" xml:space="preserve"> MAX( COLUMN( INDIRECT( doc_tablesList[[#This Row],[Table Name]] ) ) )</calculatedColumnFormula>
    </tableColumn>
    <tableColumn id="12" xr3:uid="{7F09C7E5-85E6-4334-8C65-926F0EE13A13}" name="num_tableCols" dataDxfId="179">
      <calculatedColumnFormula xml:space="preserve"> doc_tablesList[[#This Row],[last_colIndex]] - doc_tablesList[[#This Row],[id_colIndex]] + 1</calculatedColumnFormula>
    </tableColumn>
    <tableColumn id="11" xr3:uid="{C4016964-772D-4CB1-A4CA-7E815387BA94}" name="excludeCol_ids" dataDxfId="178"/>
    <tableColumn id="10" xr3:uid="{1AD286DF-FF1E-4EA7-92C2-04966DE58B94}" name="Notes" dataDxfId="17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7" totalsRowShown="0" headerRowDxfId="176" dataDxfId="174" headerRowBorderDxfId="175" tableBorderDxfId="173" totalsRowBorderDxfId="172">
  <sortState xmlns:xlrd2="http://schemas.microsoft.com/office/spreadsheetml/2017/richdata2" ref="B21:M47">
    <sortCondition ref="D21:D47"/>
  </sortState>
  <tableColumns count="12">
    <tableColumn id="14" xr3:uid="{60C3EA8F-72E0-495B-8B73-6D682443C60B}" name="row_id" dataDxfId="171" totalsRowDxfId="170">
      <calculatedColumnFormula xml:space="preserve"> ROW( co_sectors[[#This Row],[row_id]] ) - ROW( co_sectors[[#Headers],[row_id]] )</calculatedColumnFormula>
    </tableColumn>
    <tableColumn id="1" xr3:uid="{05E901B8-39C9-4448-8C69-F1824616C5B3}" name="sector_id" dataDxfId="169" totalsRowDxfId="168"/>
    <tableColumn id="2" xr3:uid="{8435BE36-75E6-4124-BCAF-A700C82839D8}" name="sector_label" dataDxfId="167" totalsRowDxfId="166"/>
    <tableColumn id="6" xr3:uid="{2BB914B0-56FF-4336-B8AD-DDDF5E8FE532}" name="include" dataDxfId="165" totalsRowDxfId="164"/>
    <tableColumn id="8" xr3:uid="{18B4827C-060D-4556-903A-BB8A82781CB7}" name="modelType" dataDxfId="163" totalsRowDxfId="162"/>
    <tableColumn id="4" xr3:uid="{60EA29EE-87DF-48ED-AC00-5DE87371BD83}" name="variants" dataDxfId="161" totalsRowDxfId="16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9" totalsRowDxfId="15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7" totalsRowDxfId="15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5" totalsRowDxfId="154">
      <calculatedColumnFormula xml:space="preserve"> IF( co_sectors[[#This Row],[impactYears]] = "N/A", 0, 1)</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54:L256"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89:D296"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61:F275"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1:F78" totalsRowShown="0" headerRowDxfId="122" dataDxfId="121">
  <autoFilter ref="B51:F78" xr:uid="{965CD6B2-887D-46C8-9D98-6C6AECBC7B1A}"/>
  <sortState xmlns:xlrd2="http://schemas.microsoft.com/office/spreadsheetml/2017/richdata2" ref="B52:F78">
    <sortCondition ref="C52:C78"/>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36:P184" totalsRowShown="0" headerRowDxfId="110" dataDxfId="109">
  <autoFilter ref="B136:P184" xr:uid="{E446364F-959A-4BFF-80B5-CD65050C4865}"/>
  <sortState xmlns:xlrd2="http://schemas.microsoft.com/office/spreadsheetml/2017/richdata2" ref="B137:P184">
    <sortCondition ref="C137:C184"/>
    <sortCondition ref="D137:D184"/>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89:J225" totalsRowShown="0" headerRowDxfId="93" dataDxfId="92">
  <autoFilter ref="B189:J225" xr:uid="{7F79E836-A486-4549-B875-6F873C0BCABB}"/>
  <sortState xmlns:xlrd2="http://schemas.microsoft.com/office/spreadsheetml/2017/richdata2" ref="B190:J220">
    <sortCondition ref="E190:E220"/>
    <sortCondition ref="C190:C220"/>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38:D241"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4:I132" totalsRowShown="0" headerRowDxfId="77" dataDxfId="76">
  <autoFilter ref="B84:I132" xr:uid="{2B645CB4-F641-4C38-A983-F38F00FA7B52}"/>
  <sortState xmlns:xlrd2="http://schemas.microsoft.com/office/spreadsheetml/2017/richdata2" ref="B85:I132">
    <sortCondition ref="C85:C132"/>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30:E233"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280:J284"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01:F350" totalsRowShown="0" headerRowDxfId="43">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47:I249" totalsRowShown="0" headerRowDxfId="37" dataDxfId="36">
  <tableColumns count="8">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1" dT="2021-01-25T18:27:33.65" personId="{00000000-0000-0000-0000-000000000000}" id="{40274E0A-9A04-480D-A5E8-2C38F8B3CAD3}">
    <text>Empty values are replaced with "NA" in the R tool.</text>
  </threadedComment>
  <threadedComment ref="E84" dT="2022-09-13T14:35:47.65" personId="{00000000-0000-0000-0000-000000000000}" id="{61FF9366-C253-4143-8900-DE7FDB924463}">
    <text>No spaces in this ID!</text>
  </threadedComment>
  <threadedComment ref="F84" dT="2021-04-02T15:18:13.84" personId="{00000000-0000-0000-0000-000000000000}" id="{7C7D377F-2B53-48B7-807A-23CFCBC48B83}">
    <text>For sectors with multiple variants, one variant is considered the "primary" variant -- e.g., as used in when aggregating across sectors.</text>
  </threadedComment>
  <threadedComment ref="G84"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54" dT="2021-04-29T18:53:19.81" personId="{00000000-0000-0000-0000-000000000000}" id="{B944EC01-36D0-40EC-99E6-BA8270B055AE}">
    <text>May add a physical scalar in the future - total regional property value</text>
  </threadedComment>
  <threadedComment ref="H154" dT="2021-04-29T18:53:45.21" personId="{00000000-0000-0000-0000-000000000000}" id="{D0F6E8CF-0610-4E7B-8A56-BC47CE157016}" parentId="{B944EC01-36D0-40EC-99E6-BA8270B055AE}">
    <text>For now keeping it without, for consistency with coastal properties</text>
  </threadedComment>
  <threadedComment ref="F189"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54" dT="2021-02-11T17:01:11.40" personId="{00000000-0000-0000-0000-000000000000}" id="{74E8C379-DF77-4FAE-8C13-4D0000C68271}">
    <text>Year when change and impacts are zero</text>
  </threadedComment>
  <threadedComment ref="L254" dT="2021-02-15T18:58:52.31" personId="{00000000-0000-0000-0000-000000000000}" id="{984021BA-DD3F-4758-AAFF-698CBFB1E97F}">
    <text>Maximum value to extrapolate to, for models that go up to the maximum output value.</text>
  </threadedComment>
  <threadedComment ref="D261" dT="2023-12-08T22:41:08.83" personId="{00000000-0000-0000-0000-000000000000}" id="{A0D64BDD-1681-4C8F-9929-C1898D0603B0}">
    <text>Max extrapolation temperature</text>
  </threadedComment>
  <threadedComment ref="J280"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330</v>
      </c>
    </row>
    <row r="10" spans="2:3" ht="29.25" customHeight="1" x14ac:dyDescent="0.25">
      <c r="B10" s="79" t="s">
        <v>81</v>
      </c>
      <c r="C10" s="56" t="s">
        <v>333</v>
      </c>
    </row>
    <row r="11" spans="2:3" ht="32.25" customHeight="1" x14ac:dyDescent="0.25">
      <c r="B11" s="80" t="s">
        <v>242</v>
      </c>
      <c r="C11" s="78" t="s">
        <v>336</v>
      </c>
    </row>
    <row r="12" spans="2:3" ht="15" customHeight="1" collapsed="1" x14ac:dyDescent="0.25">
      <c r="B12" s="79" t="s">
        <v>169</v>
      </c>
      <c r="C12" s="56" t="s">
        <v>332</v>
      </c>
    </row>
    <row r="13" spans="2:3" ht="15" hidden="1" customHeight="1" outlineLevel="1" collapsed="1" x14ac:dyDescent="0.25">
      <c r="B13" s="79"/>
      <c r="C13" s="58" t="s">
        <v>331</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221</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222</v>
      </c>
    </row>
    <row r="24" spans="2:3" ht="45" hidden="1" customHeight="1" outlineLevel="1" x14ac:dyDescent="0.25">
      <c r="B24" s="80"/>
      <c r="C24" s="55" t="s">
        <v>167</v>
      </c>
    </row>
    <row r="25" spans="2:3" ht="30.75" customHeight="1" collapsed="1" x14ac:dyDescent="0.25">
      <c r="B25" s="80" t="s">
        <v>174</v>
      </c>
      <c r="C25" s="8" t="s">
        <v>335</v>
      </c>
    </row>
    <row r="26" spans="2:3" ht="15" hidden="1" customHeight="1" outlineLevel="1" collapsed="1" x14ac:dyDescent="0.25">
      <c r="B26" s="80"/>
      <c r="C26" s="58" t="s">
        <v>331</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226</v>
      </c>
      <c r="C34" s="56" t="s">
        <v>334</v>
      </c>
    </row>
    <row r="35" spans="2:3" hidden="1" outlineLevel="1" collapsed="1" x14ac:dyDescent="0.25">
      <c r="B35" s="55"/>
      <c r="C35" s="58" t="s">
        <v>331</v>
      </c>
    </row>
    <row r="36" spans="2:3" hidden="1" outlineLevel="1" x14ac:dyDescent="0.25">
      <c r="C36" s="55" t="s">
        <v>123</v>
      </c>
    </row>
    <row r="37" spans="2:3" hidden="1" outlineLevel="1" x14ac:dyDescent="0.25">
      <c r="C37" t="s">
        <v>71</v>
      </c>
    </row>
    <row r="38" spans="2:3" hidden="1" outlineLevel="1" x14ac:dyDescent="0.25">
      <c r="C38" s="55" t="s">
        <v>200</v>
      </c>
    </row>
    <row r="39" spans="2:3" hidden="1" outlineLevel="1" x14ac:dyDescent="0.25">
      <c r="C39" t="s">
        <v>210</v>
      </c>
    </row>
    <row r="40" spans="2:3" hidden="1" outlineLevel="1" x14ac:dyDescent="0.25">
      <c r="C40" s="55" t="s">
        <v>243</v>
      </c>
    </row>
    <row r="41" spans="2:3" hidden="1" outlineLevel="1" x14ac:dyDescent="0.25">
      <c r="C41" t="s">
        <v>201</v>
      </c>
    </row>
    <row r="42" spans="2:3" hidden="1" outlineLevel="1" x14ac:dyDescent="0.25">
      <c r="C42" s="60" t="s">
        <v>202</v>
      </c>
    </row>
    <row r="43" spans="2:3" hidden="1" outlineLevel="1" x14ac:dyDescent="0.25">
      <c r="C43" t="s">
        <v>209</v>
      </c>
    </row>
    <row r="44" spans="2:3" hidden="1" outlineLevel="1" x14ac:dyDescent="0.25">
      <c r="C44" s="55" t="s">
        <v>203</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M12" sqref="M12"/>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27</v>
      </c>
      <c r="I4" s="31">
        <f ca="1" xml:space="preserve"> doc_tablesList[[#This Row],[Number of Data Rows]] + doc_tablesList[[#This Row],[Header Row]]</f>
        <v>47</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84</v>
      </c>
      <c r="H5" s="31">
        <f ca="1" xml:space="preserve"> MAX( INDIRECT( _xlfn.TEXTJOIN( "", , doc_tablesList[[#This Row],[Table Name]], "[", doc_tablesList[[#This Row],[ID_columnName]], "]" ) ) )</f>
        <v>48</v>
      </c>
      <c r="I5" s="31">
        <f ca="1" xml:space="preserve"> doc_tablesList[[#This Row],[Number of Data Rows]] + doc_tablesList[[#This Row],[Header Row]]</f>
        <v>132</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51</v>
      </c>
      <c r="H6" s="31">
        <f ca="1" xml:space="preserve"> MAX( INDIRECT( _xlfn.TEXTJOIN( "", , doc_tablesList[[#This Row],[Table Name]], "[", doc_tablesList[[#This Row],[ID_columnName]], "]" ) ) )</f>
        <v>27</v>
      </c>
      <c r="I6" s="31">
        <f ca="1" xml:space="preserve"> doc_tablesList[[#This Row],[Number of Data Rows]] + doc_tablesList[[#This Row],[Header Row]]</f>
        <v>78</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136</v>
      </c>
      <c r="H7" s="31">
        <f ca="1" xml:space="preserve"> MAX( INDIRECT( _xlfn.TEXTJOIN( "", , doc_tablesList[[#This Row],[Table Name]], "[", doc_tablesList[[#This Row],[ID_columnName]], "]" ) ) )</f>
        <v>48</v>
      </c>
      <c r="I7" s="31">
        <f ca="1" xml:space="preserve"> doc_tablesList[[#This Row],[Number of Data Rows]] + doc_tablesList[[#This Row],[Header Row]]</f>
        <v>184</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189</v>
      </c>
      <c r="H8" s="31">
        <f ca="1" xml:space="preserve"> MAX( INDIRECT( _xlfn.TEXTJOIN( "", , doc_tablesList[[#This Row],[Table Name]], "[", doc_tablesList[[#This Row],[ID_columnName]], "]" ) ) )</f>
        <v>36</v>
      </c>
      <c r="I8" s="31">
        <f ca="1" xml:space="preserve"> doc_tablesList[[#This Row],[Number of Data Rows]] + doc_tablesList[[#This Row],[Header Row]]</f>
        <v>225</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289</v>
      </c>
      <c r="H9" s="31">
        <f ca="1" xml:space="preserve"> MAX( INDIRECT( _xlfn.TEXTJOIN( "", , doc_tablesList[[#This Row],[Table Name]], "[", doc_tablesList[[#This Row],[ID_columnName]], "]" ) ) )</f>
        <v>7</v>
      </c>
      <c r="I9" s="31">
        <f ca="1" xml:space="preserve"> doc_tablesList[[#This Row],[Number of Data Rows]] + doc_tablesList[[#This Row],[Header Row]]</f>
        <v>296</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261</v>
      </c>
      <c r="H10" s="31">
        <f ca="1" xml:space="preserve"> MAX( INDIRECT( _xlfn.TEXTJOIN( "", , doc_tablesList[[#This Row],[Table Name]], "[", doc_tablesList[[#This Row],[ID_columnName]], "]" ) ) )</f>
        <v>14</v>
      </c>
      <c r="I10" s="31">
        <f ca="1" xml:space="preserve"> doc_tablesList[[#This Row],[Number of Data Rows]] + doc_tablesList[[#This Row],[Header Row]]</f>
        <v>275</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9"/>
      <c r="N10" s="48"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230</v>
      </c>
      <c r="H11" s="31">
        <f ca="1" xml:space="preserve"> MAX( INDIRECT( _xlfn.TEXTJOIN( "", , doc_tablesList[[#This Row],[Table Name]], "[", doc_tablesList[[#This Row],[ID_columnName]], "]" ) ) )</f>
        <v>3</v>
      </c>
      <c r="I11" s="31">
        <f ca="1" xml:space="preserve"> doc_tablesList[[#This Row],[Number of Data Rows]] + doc_tablesList[[#This Row],[Header Row]]</f>
        <v>233</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254</v>
      </c>
      <c r="H12" s="31">
        <f ca="1" xml:space="preserve"> MAX( INDIRECT( _xlfn.TEXTJOIN( "", , doc_tablesList[[#This Row],[Table Name]], "[", doc_tablesList[[#This Row],[ID_columnName]], "]" ) ) )</f>
        <v>2</v>
      </c>
      <c r="I12" s="31">
        <f ca="1" xml:space="preserve"> doc_tablesList[[#This Row],[Number of Data Rows]] + doc_tablesList[[#This Row],[Header Row]]</f>
        <v>256</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c r="N12" s="48"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280</v>
      </c>
      <c r="H13" s="31">
        <f ca="1" xml:space="preserve"> MAX( INDIRECT( _xlfn.TEXTJOIN( "", , doc_tablesList[[#This Row],[Table Name]], "[", doc_tablesList[[#This Row],[ID_columnName]], "]" ) ) )</f>
        <v>4</v>
      </c>
      <c r="I13" s="31">
        <f ca="1" xml:space="preserve"> doc_tablesList[[#This Row],[Number of Data Rows]] + doc_tablesList[[#This Row],[Header Row]]</f>
        <v>284</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301</v>
      </c>
      <c r="H16" s="31">
        <f ca="1" xml:space="preserve"> MAX( INDIRECT( _xlfn.TEXTJOIN( "", , doc_tablesList[[#This Row],[Table Name]], "[", doc_tablesList[[#This Row],[ID_columnName]], "]" ) ) )</f>
        <v>49</v>
      </c>
      <c r="I16" s="31">
        <f ca="1" xml:space="preserve"> doc_tablesList[[#This Row],[Number of Data Rows]] + doc_tablesList[[#This Row],[Header Row]]</f>
        <v>350</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247</v>
      </c>
      <c r="H17" s="31">
        <f ca="1" xml:space="preserve"> MAX( INDIRECT( _xlfn.TEXTJOIN( "", , doc_tablesList[[#This Row],[Table Name]], "[", doc_tablesList[[#This Row],[ID_columnName]], "]" ) ) )</f>
        <v>2</v>
      </c>
      <c r="I17" s="31">
        <f ca="1" xml:space="preserve"> doc_tablesList[[#This Row],[Number of Data Rows]] + doc_tablesList[[#This Row],[Header Row]]</f>
        <v>249</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50"/>
  <sheetViews>
    <sheetView tabSelected="1" topLeftCell="A94" zoomScale="90" zoomScaleNormal="90" workbookViewId="0">
      <pane xSplit="3" topLeftCell="D1" activePane="topRight" state="frozen"/>
      <selection pane="topRight" activeCell="I117" sqref="I117"/>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299</v>
      </c>
    </row>
    <row r="3" spans="1:21" x14ac:dyDescent="0.2">
      <c r="C3" s="50" t="str">
        <f ca="1" xml:space="preserve"> OFFSET( INDIRECT( ADDRESS( ROW( co_impactYears[[#Headers],[row_id]] ), COLUMN( co_impactYears[[#Headers],[row_id]] ), , , ) ), -2, , 1, 1 )</f>
        <v>Impact Year Estimates</v>
      </c>
      <c r="D3" s="2" t="s">
        <v>300</v>
      </c>
    </row>
    <row r="4" spans="1:21" x14ac:dyDescent="0.2">
      <c r="C4" s="50" t="str">
        <f ca="1" xml:space="preserve"> OFFSET( INDIRECT( ADDRESS( ROW( co_variants[[#Headers],[row_id]] ), COLUMN( co_variants[[#Headers],[row_id]] ), , , ) ), -4, , 1, 1 )</f>
        <v>Variants Table</v>
      </c>
      <c r="D4" s="2" t="s">
        <v>301</v>
      </c>
    </row>
    <row r="5" spans="1:21" x14ac:dyDescent="0.2">
      <c r="C5" s="50" t="str">
        <f ca="1" xml:space="preserve"> OFFSET( INDIRECT( ADDRESS( ROW( co_impactTypes[[#Headers],[row_id]] ), COLUMN( co_impactTypes[[#Headers],[row_id]] ), , , ) ), -2, , 1, 1 )</f>
        <v>Impact Types</v>
      </c>
      <c r="D5" s="2" t="s">
        <v>302</v>
      </c>
    </row>
    <row r="6" spans="1:21" x14ac:dyDescent="0.2">
      <c r="C6" s="50" t="str">
        <f ca="1" xml:space="preserve"> OFFSET( INDIRECT( ADDRESS( ROW( co_scalarInfo[[#Headers],[row_id]] ), COLUMN( co_scalarInfo[[#Headers],[row_id]] ), , , ) ), -2, , 1, 1 )</f>
        <v>Scalar Information</v>
      </c>
      <c r="D6" s="2" t="s">
        <v>303</v>
      </c>
    </row>
    <row r="7" spans="1:21" x14ac:dyDescent="0.2">
      <c r="C7" s="50" t="str">
        <f ca="1" xml:space="preserve"> OFFSET( INDIRECT( ADDRESS( ROW( co_econMultipliers[[#Headers],[row_id]] ), COLUMN( co_econMultipliers[[#Headers],[row_id]] ), , , ) ), -2, , 1, 1 )</f>
        <v>Economic Multipliers</v>
      </c>
      <c r="D7" s="2" t="s">
        <v>304</v>
      </c>
    </row>
    <row r="8" spans="1:21" x14ac:dyDescent="0.2">
      <c r="C8" s="50" t="str">
        <f ca="1" xml:space="preserve"> OFFSET( INDIRECT( ADDRESS( ROW( co_constants[[#Headers],[row_id]] ), COLUMN( co_constants[[#Headers],[row_id]] ), , , ) ), -2, , 1, 1 )</f>
        <v>Constants</v>
      </c>
      <c r="D8" s="2" t="s">
        <v>295</v>
      </c>
    </row>
    <row r="9" spans="1:21" x14ac:dyDescent="0.2">
      <c r="C9" s="50" t="str">
        <f ca="1" xml:space="preserve"> OFFSET( INDIRECT( ADDRESS( ROW( co_modelTypes[[#Headers],[row_id]] ), COLUMN( co_modelTypes[[#Headers],[row_id]] ), , , ) ), -2, , 1, 1 )</f>
        <v>Model Types</v>
      </c>
      <c r="D9" s="2" t="s">
        <v>296</v>
      </c>
    </row>
    <row r="10" spans="1:21" x14ac:dyDescent="0.2">
      <c r="C10" s="50" t="str">
        <f ca="1" xml:space="preserve"> OFFSET( INDIRECT( ADDRESS( ROW( co_models[[#Headers],[row_id]] ), COLUMN( co_models[[#Headers],[row_id]] ), , , ) ), -2, , 1, 1 )</f>
        <v>GCM Models &amp; SLR Scenarios</v>
      </c>
      <c r="D10" s="2" t="s">
        <v>297</v>
      </c>
    </row>
    <row r="11" spans="1:21" x14ac:dyDescent="0.2">
      <c r="C11" s="50" t="str">
        <f ca="1" xml:space="preserve"> OFFSET( INDIRECT( ADDRESS( ROW( co_regions[[#Headers],[row_id]] ), COLUMN( co_regions[[#Headers],[row_id]] ), , , ) ), -2, , 1, 1 )</f>
        <v>Regions</v>
      </c>
      <c r="D11" s="2" t="s">
        <v>305</v>
      </c>
    </row>
    <row r="12" spans="1:21" x14ac:dyDescent="0.2">
      <c r="C12" s="50" t="str">
        <f ca="1" xml:space="preserve"> OFFSET( INDIRECT( ADDRESS( ROW( co_inputInfo[[#Headers],[row_id]] ), COLUMN( co_inputInfo[[#Headers],[row_id]] ), , , ) ), -2, , 1, 1 )</f>
        <v>Input Scenario Information</v>
      </c>
      <c r="D12" s="2" t="s">
        <v>329</v>
      </c>
    </row>
    <row r="13" spans="1:21" x14ac:dyDescent="0.2">
      <c r="C13" s="50" t="str">
        <f ca="1" xml:space="preserve"> OFFSET( INDIRECT( ADDRESS( ROW( co_states[[#Headers],[row_id]] ), COLUMN( co_states[[#Headers],[row_id]] ), , , ) ), -2, , 1, 1 )</f>
        <v>States</v>
      </c>
      <c r="D13" s="2" t="s">
        <v>542</v>
      </c>
    </row>
    <row r="14" spans="1:21" x14ac:dyDescent="0.2">
      <c r="C14" s="50" t="str">
        <f ca="1" xml:space="preserve"> OFFSET( INDIRECT( ADDRESS( ROW( co_slrScalars[[#Headers],[row_id]] ), COLUMN( co_slrScalars[[#Headers],[row_id]] ), , , ) ), -3, , 1, 1 )</f>
        <v>SLR Scalars</v>
      </c>
      <c r="D14" s="2" t="s">
        <v>550</v>
      </c>
    </row>
    <row r="16" spans="1:21" ht="22.5" x14ac:dyDescent="0.2">
      <c r="C16" s="54" t="s">
        <v>288</v>
      </c>
      <c r="D16" s="51" t="s">
        <v>294</v>
      </c>
      <c r="E16" s="52" t="s">
        <v>281</v>
      </c>
      <c r="F16" s="53"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387</v>
      </c>
      <c r="L20" s="20" t="s">
        <v>246</v>
      </c>
      <c r="M20" s="20" t="s">
        <v>247</v>
      </c>
    </row>
    <row r="21" spans="1:21" ht="22.5" x14ac:dyDescent="0.2">
      <c r="B21" s="70">
        <f xml:space="preserve"> ROW( co_sectors[[#This Row],[row_id]] ) - ROW( co_sectors[[#Headers],[row_id]] )</f>
        <v>1</v>
      </c>
      <c r="C21" s="71" t="s">
        <v>99</v>
      </c>
      <c r="D21" s="23" t="s">
        <v>559</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1</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2</v>
      </c>
    </row>
    <row r="22" spans="1:21" x14ac:dyDescent="0.2">
      <c r="B22" s="72">
        <f xml:space="preserve"> ROW( co_sectors[[#This Row],[row_id]] ) - ROW( co_sectors[[#Headers],[row_id]] )</f>
        <v>2</v>
      </c>
      <c r="C22" s="73" t="s">
        <v>274</v>
      </c>
      <c r="D22" s="24" t="s">
        <v>276</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1</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2</v>
      </c>
    </row>
    <row r="23" spans="1:21" ht="33.75" x14ac:dyDescent="0.2">
      <c r="B23" s="74">
        <f xml:space="preserve"> ROW( co_sectors[[#This Row],[row_id]] ) - ROW( co_sectors[[#Headers],[row_id]] )</f>
        <v>3</v>
      </c>
      <c r="C23" s="71" t="s">
        <v>553</v>
      </c>
      <c r="D23" s="23" t="s">
        <v>556</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1</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2</v>
      </c>
    </row>
    <row r="24" spans="1:21" ht="22.5" x14ac:dyDescent="0.2">
      <c r="B24" s="74">
        <f xml:space="preserve"> ROW( co_sectors[[#This Row],[row_id]] ) - ROW( co_sectors[[#Headers],[row_id]] )</f>
        <v>4</v>
      </c>
      <c r="C24" s="71" t="s">
        <v>371</v>
      </c>
      <c r="D24" s="23" t="s">
        <v>373</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1</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2</v>
      </c>
    </row>
    <row r="25" spans="1:21" x14ac:dyDescent="0.2">
      <c r="B25" s="74">
        <f xml:space="preserve"> ROW( co_sectors[[#This Row],[row_id]] ) - ROW( co_sectors[[#Headers],[row_id]] )</f>
        <v>5</v>
      </c>
      <c r="C25" s="71" t="s">
        <v>372</v>
      </c>
      <c r="D25" s="23" t="s">
        <v>374</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1</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2</v>
      </c>
    </row>
    <row r="26" spans="1:21" ht="33.75" x14ac:dyDescent="0.2">
      <c r="B26" s="74">
        <f xml:space="preserve"> ROW( co_sectors[[#This Row],[row_id]] ) - ROW( co_sectors[[#Headers],[row_id]] )</f>
        <v>6</v>
      </c>
      <c r="C26" s="75" t="s">
        <v>554</v>
      </c>
      <c r="D26" s="67" t="s">
        <v>557</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1</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2</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1</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2</v>
      </c>
    </row>
    <row r="28" spans="1:21" ht="22.5" x14ac:dyDescent="0.2">
      <c r="B28" s="74">
        <f xml:space="preserve"> ROW( co_sectors[[#This Row],[row_id]] ) - ROW( co_sectors[[#Headers],[row_id]] )</f>
        <v>8</v>
      </c>
      <c r="C28" s="76" t="s">
        <v>57</v>
      </c>
      <c r="D28" s="23" t="s">
        <v>273</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1</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2</v>
      </c>
    </row>
    <row r="29" spans="1:21" ht="33.75" x14ac:dyDescent="0.2">
      <c r="B29" s="74">
        <f xml:space="preserve"> ROW( co_sectors[[#This Row],[row_id]] ) - ROW( co_sectors[[#Headers],[row_id]] )</f>
        <v>9</v>
      </c>
      <c r="C29" s="76" t="s">
        <v>271</v>
      </c>
      <c r="D29" s="23" t="s">
        <v>270</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1</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2</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558</v>
      </c>
      <c r="E31" s="11">
        <v>1</v>
      </c>
      <c r="F31" s="15" t="s">
        <v>160</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1</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2</v>
      </c>
    </row>
    <row r="32" spans="1:21" x14ac:dyDescent="0.2">
      <c r="B32" s="74">
        <f xml:space="preserve"> ROW( co_sectors[[#This Row],[row_id]] ) - ROW( co_sectors[[#Headers],[row_id]] )</f>
        <v>12</v>
      </c>
      <c r="C32" s="71" t="s">
        <v>19</v>
      </c>
      <c r="D32" s="23" t="s">
        <v>337</v>
      </c>
      <c r="E32" s="11">
        <v>1</v>
      </c>
      <c r="F32" s="15" t="s">
        <v>161</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1</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2</v>
      </c>
    </row>
    <row r="33" spans="2:13" x14ac:dyDescent="0.2">
      <c r="B33" s="74">
        <f xml:space="preserve"> ROW( co_sectors[[#This Row],[row_id]] ) - ROW( co_sectors[[#Headers],[row_id]] )</f>
        <v>13</v>
      </c>
      <c r="C33" s="71" t="s">
        <v>18</v>
      </c>
      <c r="D33" s="23" t="s">
        <v>18</v>
      </c>
      <c r="E33" s="11">
        <v>1</v>
      </c>
      <c r="F33" s="14"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1</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2</v>
      </c>
    </row>
    <row r="34" spans="2:13" x14ac:dyDescent="0.2">
      <c r="B34" s="74">
        <f xml:space="preserve"> ROW( co_sectors[[#This Row],[row_id]] ) - ROW( co_sectors[[#Headers],[row_id]] )</f>
        <v>14</v>
      </c>
      <c r="C34" s="75" t="s">
        <v>59</v>
      </c>
      <c r="D34" s="67" t="s">
        <v>353</v>
      </c>
      <c r="E34" s="68">
        <v>1</v>
      </c>
      <c r="F34" s="65"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1</v>
      </c>
      <c r="K34" s="36" cm="1">
        <f t="array" ref="K34" xml:space="preserve"> SUMPRODUCT( --( co_sectors[[#This Row],[sector_id]] = co_variants[sector_id] ) )</f>
        <v>1</v>
      </c>
      <c r="L34" s="36" cm="1">
        <f t="array" ref="L34" xml:space="preserve"> SUMPRODUCT( --( co_sectors[[#This Row],[sector_id]] = co_impactTypes[sector_id] ) )</f>
        <v>1</v>
      </c>
      <c r="M34" s="36" cm="1">
        <f t="array" ref="M34" xml:space="preserve"> IF( INDEX( co_impactYears[NA], MATCH( 1, --( co_sectors[[#This Row],[sector_id]] = co_impactYears[sector_id] ), 0 ) ) = "N/A", 1, 2 )</f>
        <v>2</v>
      </c>
    </row>
    <row r="35" spans="2:13" ht="56.25" x14ac:dyDescent="0.2">
      <c r="B35" s="74">
        <f xml:space="preserve"> ROW( co_sectors[[#This Row],[row_id]] ) - ROW( co_sectors[[#Headers],[row_id]] )</f>
        <v>15</v>
      </c>
      <c r="C35" s="76" t="s">
        <v>626</v>
      </c>
      <c r="D35" s="23" t="s">
        <v>630</v>
      </c>
      <c r="E35" s="12">
        <v>1</v>
      </c>
      <c r="F35" s="15" t="s">
        <v>160</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5" s="21">
        <f ca="1" xml:space="preserve"> IF( co_sectors[[#This Row],[impactYears]] = "N/A", 0, 1)</f>
        <v>1</v>
      </c>
      <c r="K35" s="89" cm="1">
        <f t="array" ref="K35" xml:space="preserve"> SUMPRODUCT( --( co_sectors[[#This Row],[sector_id]] = co_variants[sector_id] ) )</f>
        <v>3</v>
      </c>
      <c r="L35" s="89" cm="1">
        <f t="array" ref="L35" xml:space="preserve"> SUMPRODUCT( --( co_sectors[[#This Row],[sector_id]] = co_impactTypes[sector_id] ) )</f>
        <v>4</v>
      </c>
      <c r="M35" s="89" cm="1">
        <f t="array" ref="M35" xml:space="preserve"> IF( INDEX( co_impactYears[NA], MATCH( 1, --( co_sectors[[#This Row],[sector_id]] = co_impactYears[sector_id] ), 0 ) ) = "N/A", 1, 2 )</f>
        <v>2</v>
      </c>
    </row>
    <row r="36" spans="2:13" ht="33.75" x14ac:dyDescent="0.2">
      <c r="B36" s="74">
        <f xml:space="preserve"> ROW( co_sectors[[#This Row],[row_id]] ) - ROW( co_sectors[[#Headers],[row_id]] )</f>
        <v>16</v>
      </c>
      <c r="C36" s="76" t="s">
        <v>625</v>
      </c>
      <c r="D36" s="23" t="s">
        <v>631</v>
      </c>
      <c r="E36" s="12">
        <v>1</v>
      </c>
      <c r="F36" s="15" t="s">
        <v>160</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6" s="21">
        <f ca="1" xml:space="preserve"> IF( co_sectors[[#This Row],[impactYears]] = "N/A", 0, 1)</f>
        <v>1</v>
      </c>
      <c r="K36" s="89" cm="1">
        <f t="array" ref="K36" xml:space="preserve"> SUMPRODUCT( --( co_sectors[[#This Row],[sector_id]] = co_variants[sector_id] ) )</f>
        <v>3</v>
      </c>
      <c r="L36" s="89" cm="1">
        <f t="array" ref="L36" xml:space="preserve"> SUMPRODUCT( --( co_sectors[[#This Row],[sector_id]] = co_impactTypes[sector_id] ) )</f>
        <v>1</v>
      </c>
      <c r="M36" s="89" cm="1">
        <f t="array" ref="M36" xml:space="preserve"> IF( INDEX( co_impactYears[NA], MATCH( 1, --( co_sectors[[#This Row],[sector_id]] = co_impactYears[sector_id] ), 0 ) ) = "N/A", 1, 2 )</f>
        <v>2</v>
      </c>
    </row>
    <row r="37" spans="2:13" x14ac:dyDescent="0.2">
      <c r="B37" s="74">
        <f xml:space="preserve"> ROW( co_sectors[[#This Row],[row_id]] ) - ROW( co_sectors[[#Headers],[row_id]] )</f>
        <v>17</v>
      </c>
      <c r="C37" s="76" t="s">
        <v>555</v>
      </c>
      <c r="D37" s="23" t="s">
        <v>555</v>
      </c>
      <c r="E37" s="12">
        <v>1</v>
      </c>
      <c r="F37" s="15" t="s">
        <v>161</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1</v>
      </c>
      <c r="K37" s="36" cm="1">
        <f t="array" ref="K37" xml:space="preserve"> SUMPRODUCT( --( co_sectors[[#This Row],[sector_id]] = co_variants[sector_id] ) )</f>
        <v>1</v>
      </c>
      <c r="L37" s="36" cm="1">
        <f t="array" ref="L37" xml:space="preserve"> SUMPRODUCT( --( co_sectors[[#This Row],[sector_id]] = co_impactTypes[sector_id] ) )</f>
        <v>1</v>
      </c>
      <c r="M37" s="36" cm="1">
        <f t="array" ref="M37" xml:space="preserve"> IF( INDEX( co_impactYears[NA], MATCH( 1, --( co_sectors[[#This Row],[sector_id]] = co_impactYears[sector_id] ), 0 ) ) = "N/A", 1, 2 )</f>
        <v>2</v>
      </c>
    </row>
    <row r="38" spans="2:13" ht="33.75" x14ac:dyDescent="0.2">
      <c r="B38" s="72">
        <f xml:space="preserve"> ROW( co_sectors[[#This Row],[row_id]] ) - ROW( co_sectors[[#Headers],[row_id]] )</f>
        <v>18</v>
      </c>
      <c r="C38" s="73" t="s">
        <v>46</v>
      </c>
      <c r="D38" s="24" t="s">
        <v>46</v>
      </c>
      <c r="E38" s="12">
        <v>1</v>
      </c>
      <c r="F38" s="14" t="s">
        <v>161</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8" s="89" t="str">
        <f ca="1" xml:space="preserve"> _xlfn.TEXTJOIN( ", ", 1,
  OFFSET( INDIRECT( ADDRESS( ROW( INDEX( co_impactYears[sector_id], MATCH( co_sectors[[#This Row],[sector_id]], co_impactYears[sector_id], 0 ) ) ),  COLUMN( co_impactYears[[#Headers],[sector_id]] ), , , "controlTables" ) ), 0, 1, 1, 4 )
)</f>
        <v>NA</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N/A</v>
      </c>
      <c r="J38" s="21">
        <f ca="1" xml:space="preserve"> IF( co_sectors[[#This Row],[impactYears]] = "N/A", 0, 1)</f>
        <v>1</v>
      </c>
      <c r="K38" s="36" cm="1">
        <f t="array" ref="K38" xml:space="preserve"> SUMPRODUCT( --( co_sectors[[#This Row],[sector_id]] = co_variants[sector_id] ) )</f>
        <v>3</v>
      </c>
      <c r="L38" s="36" cm="1">
        <f t="array" ref="L38" xml:space="preserve"> SUMPRODUCT( --( co_sectors[[#This Row],[sector_id]] = co_impactTypes[sector_id] ) )</f>
        <v>1</v>
      </c>
      <c r="M38" s="36" cm="1">
        <f t="array" ref="M38" xml:space="preserve"> IF( INDEX( co_impactYears[NA], MATCH( 1, --( co_sectors[[#This Row],[sector_id]] = co_impactYears[sector_id] ), 0 ) ) = "N/A", 1, 2 )</f>
        <v>2</v>
      </c>
    </row>
    <row r="39" spans="2:13" ht="33.75" x14ac:dyDescent="0.2">
      <c r="B39" s="74">
        <f xml:space="preserve"> ROW( co_sectors[[#This Row],[row_id]] ) - ROW( co_sectors[[#Headers],[row_id]] )</f>
        <v>19</v>
      </c>
      <c r="C39" s="71" t="s">
        <v>53</v>
      </c>
      <c r="D39" s="23" t="s">
        <v>53</v>
      </c>
      <c r="E39" s="13">
        <v>1</v>
      </c>
      <c r="F39" s="14"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1</v>
      </c>
      <c r="K39" s="36" cm="1">
        <f t="array" ref="K39" xml:space="preserve"> SUMPRODUCT( --( co_sectors[[#This Row],[sector_id]] = co_variants[sector_id] ) )</f>
        <v>3</v>
      </c>
      <c r="L39" s="36" cm="1">
        <f t="array" ref="L39" xml:space="preserve"> SUMPRODUCT( --( co_sectors[[#This Row],[sector_id]] = co_impactTypes[sector_id] ) )</f>
        <v>1</v>
      </c>
      <c r="M39" s="36" cm="1">
        <f t="array" ref="M39" xml:space="preserve"> IF( INDEX( co_impactYears[NA], MATCH( 1, --( co_sectors[[#This Row],[sector_id]] = co_impactYears[sector_id] ), 0 ) ) = "N/A", 1, 2 )</f>
        <v>2</v>
      </c>
    </row>
    <row r="40" spans="2:13" ht="56.25" x14ac:dyDescent="0.2">
      <c r="B40" s="72">
        <f xml:space="preserve"> ROW( co_sectors[[#This Row],[row_id]] ) - ROW( co_sectors[[#Headers],[row_id]] )</f>
        <v>20</v>
      </c>
      <c r="C40" s="73" t="s">
        <v>20</v>
      </c>
      <c r="D40" s="24" t="s">
        <v>34</v>
      </c>
      <c r="E40" s="13">
        <v>1</v>
      </c>
      <c r="F40" s="14"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9" t="str">
        <f ca="1" xml:space="preserve"> _xlfn.TEXTJOIN( ", ", 1,
  OFFSET( INDIRECT( ADDRESS( ROW( INDEX( co_impactYears[sector_id], MATCH( co_sectors[[#This Row],[sector_id]], co_impactYears[sector_id], 0 ) ) ),  COLUMN( co_impactYears[[#Headers],[sector_id]] ), , , "controlTables" ) ), 0, 1, 1, 4 )
)</f>
        <v>2010, 2090</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0" s="21">
        <f ca="1" xml:space="preserve"> IF( co_sectors[[#This Row],[impactYears]] = "N/A", 0, 1)</f>
        <v>1</v>
      </c>
      <c r="K40" s="36" cm="1">
        <f t="array" ref="K40" xml:space="preserve"> SUMPRODUCT( --( co_sectors[[#This Row],[sector_id]] = co_variants[sector_id] ) )</f>
        <v>1</v>
      </c>
      <c r="L40" s="36" cm="1">
        <f t="array" ref="L40" xml:space="preserve"> SUMPRODUCT( --( co_sectors[[#This Row],[sector_id]] = co_impactTypes[sector_id] ) )</f>
        <v>5</v>
      </c>
      <c r="M40" s="36" cm="1">
        <f t="array" ref="M40" xml:space="preserve"> IF( INDEX( co_impactYears[NA], MATCH( 1, --( co_sectors[[#This Row],[sector_id]] = co_impactYears[sector_id] ), 0 ) ) = "N/A", 1, 2 )</f>
        <v>2</v>
      </c>
    </row>
    <row r="41" spans="2:13" x14ac:dyDescent="0.2">
      <c r="B41" s="74">
        <f xml:space="preserve"> ROW( co_sectors[[#This Row],[row_id]] ) - ROW( co_sectors[[#Headers],[row_id]] )</f>
        <v>21</v>
      </c>
      <c r="C41" s="76" t="s">
        <v>61</v>
      </c>
      <c r="D41" s="23" t="s">
        <v>62</v>
      </c>
      <c r="E41" s="12">
        <v>1</v>
      </c>
      <c r="F41" s="14"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9" t="str">
        <f ca="1" xml:space="preserve"> _xlfn.TEXTJOIN( ", ", 1,
  OFFSET( INDIRECT( ADDRESS( ROW( INDEX( co_impactYears[sector_id], MATCH( co_sectors[[#This Row],[sector_id]], co_impactYears[sector_id], 0 ) ) ),  COLUMN( co_impactYears[[#Headers],[sector_id]] ), , , "controlTables" ) ), 0, 1, 1, 4 )
)</f>
        <v>NA</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1</v>
      </c>
      <c r="K41" s="36" cm="1">
        <f t="array" ref="K41" xml:space="preserve"> SUMPRODUCT( --( co_sectors[[#This Row],[sector_id]] = co_variants[sector_id] ) )</f>
        <v>1</v>
      </c>
      <c r="L41" s="36" cm="1">
        <f t="array" ref="L41" xml:space="preserve"> SUMPRODUCT( --( co_sectors[[#This Row],[sector_id]] = co_impactTypes[sector_id] ) )</f>
        <v>1</v>
      </c>
      <c r="M41" s="36" cm="1">
        <f t="array" ref="M41" xml:space="preserve"> IF( INDEX( co_impactYears[NA], MATCH( 1, --( co_sectors[[#This Row],[sector_id]] = co_impactYears[sector_id] ), 0 ) ) = "N/A", 1, 2 )</f>
        <v>2</v>
      </c>
    </row>
    <row r="42" spans="2:13" ht="22.5" x14ac:dyDescent="0.2">
      <c r="B42" s="72">
        <f xml:space="preserve"> ROW( co_sectors[[#This Row],[row_id]] ) - ROW( co_sectors[[#Headers],[row_id]] )</f>
        <v>22</v>
      </c>
      <c r="C42" s="73" t="s">
        <v>252</v>
      </c>
      <c r="D42" s="24" t="s">
        <v>253</v>
      </c>
      <c r="E42" s="13">
        <v>1</v>
      </c>
      <c r="F42" s="15"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89" t="str">
        <f ca="1" xml:space="preserve"> _xlfn.TEXTJOIN( ", ", 1,
  OFFSET( INDIRECT( ADDRESS( ROW( INDEX( co_impactYears[sector_id], MATCH( co_sectors[[#This Row],[sector_id]], co_impactYears[sector_id], 0 ) ) ),  COLUMN( co_impactYears[[#Headers],[sector_id]] ), , , "controlTables" ) ), 0, 1, 1, 4 )
)</f>
        <v>NA</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2" s="21">
        <f ca="1" xml:space="preserve"> IF( co_sectors[[#This Row],[impactYears]] = "N/A", 0, 1)</f>
        <v>1</v>
      </c>
      <c r="K42" s="36" cm="1">
        <f t="array" ref="K42" xml:space="preserve"> SUMPRODUCT( --( co_sectors[[#This Row],[sector_id]] = co_variants[sector_id] ) )</f>
        <v>1</v>
      </c>
      <c r="L42" s="36" cm="1">
        <f t="array" ref="L42" xml:space="preserve"> SUMPRODUCT( --( co_sectors[[#This Row],[sector_id]] = co_impactTypes[sector_id] ) )</f>
        <v>3</v>
      </c>
      <c r="M42" s="36" cm="1">
        <f t="array" ref="M42" xml:space="preserve"> IF( INDEX( co_impactYears[NA], MATCH( 1, --( co_sectors[[#This Row],[sector_id]] = co_impactYears[sector_id] ), 0 ) ) = "N/A", 1, 2 )</f>
        <v>2</v>
      </c>
    </row>
    <row r="43" spans="2:13" ht="22.5" x14ac:dyDescent="0.2">
      <c r="B43" s="74">
        <f xml:space="preserve"> ROW( co_sectors[[#This Row],[row_id]] ) - ROW( co_sectors[[#Headers],[row_id]] )</f>
        <v>23</v>
      </c>
      <c r="C43" s="76" t="s">
        <v>430</v>
      </c>
      <c r="D43" s="23" t="s">
        <v>560</v>
      </c>
      <c r="E43" s="12">
        <v>1</v>
      </c>
      <c r="F43" s="15"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NA</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3" s="21">
        <f ca="1" xml:space="preserve"> IF( co_sectors[[#This Row],[impactYears]] = "N/A", 0, 1)</f>
        <v>1</v>
      </c>
      <c r="K43" s="36" cm="1">
        <f t="array" ref="K43" xml:space="preserve"> SUMPRODUCT( --( co_sectors[[#This Row],[sector_id]] = co_variants[sector_id] ) )</f>
        <v>1</v>
      </c>
      <c r="L43" s="36" cm="1">
        <f t="array" ref="L43" xml:space="preserve"> SUMPRODUCT( --( co_sectors[[#This Row],[sector_id]] = co_impactTypes[sector_id] ) )</f>
        <v>3</v>
      </c>
      <c r="M43" s="36" cm="1">
        <f t="array" ref="M43" xml:space="preserve"> IF( INDEX( co_impactYears[NA], MATCH( 1, --( co_sectors[[#This Row],[sector_id]] = co_impactYears[sector_id] ), 0 ) ) = "N/A", 1, 2 )</f>
        <v>2</v>
      </c>
    </row>
    <row r="44" spans="2:13" x14ac:dyDescent="0.2">
      <c r="B44" s="72">
        <f xml:space="preserve"> ROW( co_sectors[[#This Row],[row_id]] ) - ROW( co_sectors[[#Headers],[row_id]] )</f>
        <v>24</v>
      </c>
      <c r="C44" s="73" t="s">
        <v>63</v>
      </c>
      <c r="D44" s="24" t="s">
        <v>64</v>
      </c>
      <c r="E44" s="12">
        <v>1</v>
      </c>
      <c r="F44" s="14"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1</v>
      </c>
      <c r="K44" s="36" cm="1">
        <f t="array" ref="K44" xml:space="preserve"> SUMPRODUCT( --( co_sectors[[#This Row],[sector_id]] = co_variants[sector_id] ) )</f>
        <v>1</v>
      </c>
      <c r="L44" s="36" cm="1">
        <f t="array" ref="L44" xml:space="preserve"> SUMPRODUCT( --( co_sectors[[#This Row],[sector_id]] = co_impactTypes[sector_id] ) )</f>
        <v>1</v>
      </c>
      <c r="M44" s="36" cm="1">
        <f t="array" ref="M44" xml:space="preserve"> IF( INDEX( co_impactYears[NA], MATCH( 1, --( co_sectors[[#This Row],[sector_id]] = co_impactYears[sector_id] ), 0 ) ) = "N/A", 1, 2 )</f>
        <v>2</v>
      </c>
    </row>
    <row r="45" spans="2:13" ht="22.5" x14ac:dyDescent="0.2">
      <c r="B45" s="72">
        <f xml:space="preserve"> ROW( co_sectors[[#This Row],[row_id]] ) - ROW( co_sectors[[#Headers],[row_id]] )</f>
        <v>25</v>
      </c>
      <c r="C45" s="73" t="s">
        <v>105</v>
      </c>
      <c r="D45" s="24" t="s">
        <v>105</v>
      </c>
      <c r="E45" s="12">
        <v>1</v>
      </c>
      <c r="F45" s="14"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NA</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5" s="21">
        <f ca="1" xml:space="preserve"> IF( co_sectors[[#This Row],[impactYears]] = "N/A", 0, 1)</f>
        <v>1</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2</v>
      </c>
    </row>
    <row r="46" spans="2:13" x14ac:dyDescent="0.2">
      <c r="B46" s="72">
        <f xml:space="preserve"> ROW( co_sectors[[#This Row],[row_id]] ) - ROW( co_sectors[[#Headers],[row_id]] )</f>
        <v>26</v>
      </c>
      <c r="C46" s="76" t="s">
        <v>340</v>
      </c>
      <c r="D46" s="23" t="s">
        <v>342</v>
      </c>
      <c r="E46" s="12">
        <v>1</v>
      </c>
      <c r="F46" s="15" t="s">
        <v>161</v>
      </c>
      <c r="G46" s="89"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9" t="str">
        <f ca="1" xml:space="preserve"> _xlfn.TEXTJOIN( ", ", 1,
  OFFSET( INDIRECT( ADDRESS( ROW( INDEX( co_impactYears[sector_id], MATCH( co_sectors[[#This Row],[sector_id]], co_impactYears[sector_id], 0 ) ) ),  COLUMN( co_impactYears[[#Headers],[sector_id]] ), , , "controlTables" ) ), 0, 1, 1, 4 )
)</f>
        <v>NA</v>
      </c>
      <c r="I46" s="89"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N/A</v>
      </c>
      <c r="J46" s="21">
        <f ca="1" xml:space="preserve"> IF( co_sectors[[#This Row],[impactYears]] = "N/A", 0, 1)</f>
        <v>1</v>
      </c>
      <c r="K46" s="36" cm="1">
        <f t="array" ref="K46" xml:space="preserve"> SUMPRODUCT( --( co_sectors[[#This Row],[sector_id]] = co_variants[sector_id] ) )</f>
        <v>1</v>
      </c>
      <c r="L46" s="36" cm="1">
        <f t="array" ref="L46" xml:space="preserve"> SUMPRODUCT( --( co_sectors[[#This Row],[sector_id]] = co_impactTypes[sector_id] ) )</f>
        <v>1</v>
      </c>
      <c r="M46" s="36" cm="1">
        <f t="array" ref="M46" xml:space="preserve"> IF( INDEX( co_impactYears[NA], MATCH( 1, --( co_sectors[[#This Row],[sector_id]] = co_impactYears[sector_id] ), 0 ) ) = "N/A", 1, 2 )</f>
        <v>2</v>
      </c>
    </row>
    <row r="47" spans="2:13" ht="33.75" x14ac:dyDescent="0.2">
      <c r="B47" s="72">
        <f xml:space="preserve"> ROW( co_sectors[[#This Row],[row_id]] ) - ROW( co_sectors[[#Headers],[row_id]] )</f>
        <v>27</v>
      </c>
      <c r="C47" s="76" t="s">
        <v>24</v>
      </c>
      <c r="D47" s="23" t="s">
        <v>33</v>
      </c>
      <c r="E47" s="12">
        <v>1</v>
      </c>
      <c r="F47" s="14" t="s">
        <v>161</v>
      </c>
      <c r="G47" s="89"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9" t="str">
        <f ca="1" xml:space="preserve"> _xlfn.TEXTJOIN( ", ", 1,
  OFFSET( INDIRECT( ADDRESS( ROW( INDEX( co_impactYears[sector_id], MATCH( co_sectors[[#This Row],[sector_id]], co_impactYears[sector_id], 0 ) ) ),  COLUMN( co_impactYears[[#Headers],[sector_id]] ), , , "controlTables" ) ), 0, 1, 1, 4 )
)</f>
        <v>2010, 2090</v>
      </c>
      <c r="I47" s="89"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7" s="21">
        <f ca="1" xml:space="preserve"> IF( co_sectors[[#This Row],[impactYears]] = "N/A", 0, 1)</f>
        <v>1</v>
      </c>
      <c r="K47" s="36" cm="1">
        <f t="array" ref="K47" xml:space="preserve"> SUMPRODUCT( --( co_sectors[[#This Row],[sector_id]] = co_variants[sector_id] ) )</f>
        <v>1</v>
      </c>
      <c r="L47" s="36" cm="1">
        <f t="array" ref="L47" xml:space="preserve"> SUMPRODUCT( --( co_sectors[[#This Row],[sector_id]] = co_impactTypes[sector_id] ) )</f>
        <v>3</v>
      </c>
      <c r="M47" s="36" cm="1">
        <f t="array" ref="M47" xml:space="preserve"> IF( INDEX( co_impactYears[NA], MATCH( 1, --( co_sectors[[#This Row],[sector_id]] = co_impactYears[sector_id] ), 0 ) ) = "N/A", 1, 2 )</f>
        <v>2</v>
      </c>
    </row>
    <row r="49" spans="1:21" ht="15" x14ac:dyDescent="0.25">
      <c r="A49" s="16"/>
      <c r="B49" s="17" t="s">
        <v>291</v>
      </c>
      <c r="C49" s="17"/>
      <c r="D49" s="17"/>
      <c r="E49" s="17"/>
      <c r="F49" s="17"/>
      <c r="G49" s="17"/>
      <c r="H49" s="17"/>
      <c r="I49" s="17"/>
      <c r="J49" s="17"/>
      <c r="K49" s="17"/>
      <c r="L49" s="17"/>
      <c r="M49" s="17"/>
      <c r="N49" s="17"/>
      <c r="O49" s="17"/>
      <c r="P49" s="17"/>
      <c r="Q49" s="17"/>
      <c r="R49" s="17"/>
      <c r="S49" s="17"/>
      <c r="T49" s="17"/>
      <c r="U49" s="17"/>
    </row>
    <row r="51" spans="1:21" x14ac:dyDescent="0.2">
      <c r="B51" s="29" t="s">
        <v>123</v>
      </c>
      <c r="C51" s="29" t="s">
        <v>56</v>
      </c>
      <c r="D51" s="31" t="s">
        <v>207</v>
      </c>
      <c r="E51" s="15" t="s">
        <v>185</v>
      </c>
      <c r="F51" s="31" t="s">
        <v>186</v>
      </c>
    </row>
    <row r="52" spans="1:21" x14ac:dyDescent="0.2">
      <c r="B52" s="4">
        <f xml:space="preserve"> ROW( co_impactYears[[#This Row],[row_id]] ) - ROW(co_impactYears[[#Headers],[row_id]] )</f>
        <v>1</v>
      </c>
      <c r="C52" s="7" t="s">
        <v>99</v>
      </c>
      <c r="D52" s="27" t="s">
        <v>207</v>
      </c>
      <c r="E52" s="81" t="s">
        <v>17</v>
      </c>
      <c r="F52" s="27" t="s">
        <v>17</v>
      </c>
    </row>
    <row r="53" spans="1:21" x14ac:dyDescent="0.2">
      <c r="B53" s="4">
        <f xml:space="preserve"> ROW( co_impactYears[[#This Row],[row_id]] ) - ROW(co_impactYears[[#Headers],[row_id]] )</f>
        <v>2</v>
      </c>
      <c r="C53" s="7" t="s">
        <v>274</v>
      </c>
      <c r="D53" s="27" t="s">
        <v>207</v>
      </c>
      <c r="E53" s="81" t="s">
        <v>17</v>
      </c>
      <c r="F53" s="27" t="s">
        <v>17</v>
      </c>
    </row>
    <row r="54" spans="1:21" x14ac:dyDescent="0.2">
      <c r="B54" s="4">
        <f xml:space="preserve"> ROW( co_impactYears[[#This Row],[row_id]] ) - ROW(co_impactYears[[#Headers],[row_id]] )</f>
        <v>3</v>
      </c>
      <c r="C54" s="7" t="s">
        <v>553</v>
      </c>
      <c r="D54" s="27" t="s">
        <v>207</v>
      </c>
      <c r="E54" s="81" t="s">
        <v>17</v>
      </c>
      <c r="F54" s="27" t="s">
        <v>17</v>
      </c>
    </row>
    <row r="55" spans="1:21" x14ac:dyDescent="0.2">
      <c r="B55" s="4">
        <f xml:space="preserve"> ROW( co_impactYears[[#This Row],[row_id]] ) - ROW(co_impactYears[[#Headers],[row_id]] )</f>
        <v>4</v>
      </c>
      <c r="C55" s="7" t="s">
        <v>371</v>
      </c>
      <c r="D55" s="27" t="s">
        <v>207</v>
      </c>
      <c r="E55" s="81" t="s">
        <v>17</v>
      </c>
      <c r="F55" s="27" t="s">
        <v>17</v>
      </c>
    </row>
    <row r="56" spans="1:21" x14ac:dyDescent="0.2">
      <c r="B56" s="4">
        <f xml:space="preserve"> ROW( co_impactYears[[#This Row],[row_id]] ) - ROW(co_impactYears[[#Headers],[row_id]] )</f>
        <v>5</v>
      </c>
      <c r="C56" s="7" t="s">
        <v>372</v>
      </c>
      <c r="D56" s="27" t="s">
        <v>207</v>
      </c>
      <c r="E56" s="81" t="s">
        <v>17</v>
      </c>
      <c r="F56" s="27" t="s">
        <v>17</v>
      </c>
    </row>
    <row r="57" spans="1:21" x14ac:dyDescent="0.2">
      <c r="B57" s="4">
        <f xml:space="preserve"> ROW( co_impactYears[[#This Row],[row_id]] ) - ROW(co_impactYears[[#Headers],[row_id]] )</f>
        <v>6</v>
      </c>
      <c r="C57" s="7" t="s">
        <v>554</v>
      </c>
      <c r="D57" s="27" t="s">
        <v>207</v>
      </c>
      <c r="E57" s="81" t="s">
        <v>17</v>
      </c>
      <c r="F57" s="27" t="s">
        <v>17</v>
      </c>
    </row>
    <row r="58" spans="1:21" x14ac:dyDescent="0.2">
      <c r="B58" s="4">
        <f xml:space="preserve"> ROW( co_impactYears[[#This Row],[row_id]] ) - ROW(co_impactYears[[#Headers],[row_id]] )</f>
        <v>7</v>
      </c>
      <c r="C58" s="7" t="s">
        <v>21</v>
      </c>
      <c r="D58" s="27" t="s">
        <v>207</v>
      </c>
      <c r="E58" s="81" t="s">
        <v>17</v>
      </c>
      <c r="F58" s="27" t="s">
        <v>17</v>
      </c>
    </row>
    <row r="59" spans="1:21" x14ac:dyDescent="0.2">
      <c r="B59" s="4">
        <f xml:space="preserve"> ROW( co_impactYears[[#This Row],[row_id]] ) - ROW(co_impactYears[[#Headers],[row_id]] )</f>
        <v>8</v>
      </c>
      <c r="C59" s="7" t="s">
        <v>57</v>
      </c>
      <c r="D59" s="27" t="s">
        <v>207</v>
      </c>
      <c r="E59" s="81" t="s">
        <v>17</v>
      </c>
      <c r="F59" s="27" t="s">
        <v>17</v>
      </c>
    </row>
    <row r="60" spans="1:21" x14ac:dyDescent="0.2">
      <c r="B60" s="4">
        <f xml:space="preserve"> ROW( co_impactYears[[#This Row],[row_id]] ) - ROW(co_impactYears[[#Headers],[row_id]] )</f>
        <v>9</v>
      </c>
      <c r="C60" s="7" t="s">
        <v>271</v>
      </c>
      <c r="D60" s="27" t="s">
        <v>207</v>
      </c>
      <c r="E60" s="81" t="s">
        <v>17</v>
      </c>
      <c r="F60" s="27" t="s">
        <v>17</v>
      </c>
    </row>
    <row r="61" spans="1:21" x14ac:dyDescent="0.2">
      <c r="B61" s="4">
        <f xml:space="preserve"> ROW( co_impactYears[[#This Row],[row_id]] ) - ROW(co_impactYears[[#Headers],[row_id]] )</f>
        <v>10</v>
      </c>
      <c r="C61" s="7" t="s">
        <v>15</v>
      </c>
      <c r="D61" s="27" t="s">
        <v>17</v>
      </c>
      <c r="E61" s="81">
        <v>2010</v>
      </c>
      <c r="F61" s="27">
        <v>2090</v>
      </c>
    </row>
    <row r="62" spans="1:21" x14ac:dyDescent="0.2">
      <c r="B62" s="4">
        <f xml:space="preserve"> ROW( co_impactYears[[#This Row],[row_id]] ) - ROW(co_impactYears[[#Headers],[row_id]] )</f>
        <v>11</v>
      </c>
      <c r="C62" s="7" t="s">
        <v>58</v>
      </c>
      <c r="D62" s="27" t="s">
        <v>207</v>
      </c>
      <c r="E62" s="81" t="s">
        <v>17</v>
      </c>
      <c r="F62" s="27" t="s">
        <v>17</v>
      </c>
    </row>
    <row r="63" spans="1:21" x14ac:dyDescent="0.2">
      <c r="B63" s="4">
        <f xml:space="preserve"> ROW( co_impactYears[[#This Row],[row_id]] ) - ROW(co_impactYears[[#Headers],[row_id]] )</f>
        <v>12</v>
      </c>
      <c r="C63" s="7" t="s">
        <v>19</v>
      </c>
      <c r="D63" s="27" t="s">
        <v>207</v>
      </c>
      <c r="E63" s="81" t="s">
        <v>17</v>
      </c>
      <c r="F63" s="27" t="s">
        <v>17</v>
      </c>
    </row>
    <row r="64" spans="1:21" x14ac:dyDescent="0.2">
      <c r="B64" s="4">
        <f xml:space="preserve"> ROW( co_impactYears[[#This Row],[row_id]] ) - ROW(co_impactYears[[#Headers],[row_id]] )</f>
        <v>13</v>
      </c>
      <c r="C64" s="7" t="s">
        <v>18</v>
      </c>
      <c r="D64" s="27" t="s">
        <v>207</v>
      </c>
      <c r="E64" s="81" t="s">
        <v>17</v>
      </c>
      <c r="F64" s="27" t="s">
        <v>17</v>
      </c>
    </row>
    <row r="65" spans="1:21" x14ac:dyDescent="0.2">
      <c r="B65" s="4">
        <f xml:space="preserve"> ROW( co_impactYears[[#This Row],[row_id]] ) - ROW(co_impactYears[[#Headers],[row_id]] )</f>
        <v>14</v>
      </c>
      <c r="C65" s="7" t="s">
        <v>59</v>
      </c>
      <c r="D65" s="27" t="s">
        <v>207</v>
      </c>
      <c r="E65" s="81" t="s">
        <v>17</v>
      </c>
      <c r="F65" s="27" t="s">
        <v>17</v>
      </c>
    </row>
    <row r="66" spans="1:21" x14ac:dyDescent="0.2">
      <c r="B66" s="4">
        <f xml:space="preserve"> ROW( co_impactYears[[#This Row],[row_id]] ) - ROW(co_impactYears[[#Headers],[row_id]] )</f>
        <v>15</v>
      </c>
      <c r="C66" s="7" t="s">
        <v>626</v>
      </c>
      <c r="D66" s="27" t="s">
        <v>207</v>
      </c>
      <c r="E66" s="81"/>
      <c r="F66" s="27"/>
    </row>
    <row r="67" spans="1:21" x14ac:dyDescent="0.2">
      <c r="B67" s="4">
        <f xml:space="preserve"> ROW( co_impactYears[[#This Row],[row_id]] ) - ROW(co_impactYears[[#Headers],[row_id]] )</f>
        <v>16</v>
      </c>
      <c r="C67" s="7" t="s">
        <v>625</v>
      </c>
      <c r="D67" s="27" t="s">
        <v>207</v>
      </c>
      <c r="E67" s="81"/>
      <c r="F67" s="27"/>
    </row>
    <row r="68" spans="1:21" x14ac:dyDescent="0.2">
      <c r="B68" s="4">
        <f xml:space="preserve"> ROW( co_impactYears[[#This Row],[row_id]] ) - ROW(co_impactYears[[#Headers],[row_id]] )</f>
        <v>17</v>
      </c>
      <c r="C68" s="7" t="s">
        <v>555</v>
      </c>
      <c r="D68" s="27" t="s">
        <v>207</v>
      </c>
      <c r="E68" s="81" t="s">
        <v>17</v>
      </c>
      <c r="F68" s="27" t="s">
        <v>17</v>
      </c>
    </row>
    <row r="69" spans="1:21" x14ac:dyDescent="0.2">
      <c r="B69" s="4">
        <f xml:space="preserve"> ROW( co_impactYears[[#This Row],[row_id]] ) - ROW(co_impactYears[[#Headers],[row_id]] )</f>
        <v>18</v>
      </c>
      <c r="C69" s="7" t="s">
        <v>46</v>
      </c>
      <c r="D69" s="27" t="s">
        <v>207</v>
      </c>
      <c r="E69" s="81" t="s">
        <v>17</v>
      </c>
      <c r="F69" s="27" t="s">
        <v>17</v>
      </c>
    </row>
    <row r="70" spans="1:21" x14ac:dyDescent="0.2">
      <c r="B70" s="4">
        <f xml:space="preserve"> ROW( co_impactYears[[#This Row],[row_id]] ) - ROW(co_impactYears[[#Headers],[row_id]] )</f>
        <v>19</v>
      </c>
      <c r="C70" s="7" t="s">
        <v>53</v>
      </c>
      <c r="D70" s="27" t="s">
        <v>207</v>
      </c>
      <c r="E70" s="81" t="s">
        <v>17</v>
      </c>
      <c r="F70" s="27" t="s">
        <v>17</v>
      </c>
    </row>
    <row r="71" spans="1:21" x14ac:dyDescent="0.2">
      <c r="B71" s="4">
        <f xml:space="preserve"> ROW( co_impactYears[[#This Row],[row_id]] ) - ROW(co_impactYears[[#Headers],[row_id]] )</f>
        <v>20</v>
      </c>
      <c r="C71" s="7" t="s">
        <v>20</v>
      </c>
      <c r="D71" s="27" t="s">
        <v>17</v>
      </c>
      <c r="E71" s="81">
        <v>2010</v>
      </c>
      <c r="F71" s="27">
        <v>2090</v>
      </c>
    </row>
    <row r="72" spans="1:21" x14ac:dyDescent="0.2">
      <c r="B72" s="4">
        <f xml:space="preserve"> ROW( co_impactYears[[#This Row],[row_id]] ) - ROW(co_impactYears[[#Headers],[row_id]] )</f>
        <v>21</v>
      </c>
      <c r="C72" s="7" t="s">
        <v>61</v>
      </c>
      <c r="D72" s="27" t="s">
        <v>207</v>
      </c>
      <c r="E72" s="81" t="s">
        <v>17</v>
      </c>
      <c r="F72" s="27" t="s">
        <v>17</v>
      </c>
    </row>
    <row r="73" spans="1:21" x14ac:dyDescent="0.2">
      <c r="B73" s="4">
        <f xml:space="preserve"> ROW( co_impactYears[[#This Row],[row_id]] ) - ROW(co_impactYears[[#Headers],[row_id]] )</f>
        <v>22</v>
      </c>
      <c r="C73" s="7" t="s">
        <v>252</v>
      </c>
      <c r="D73" s="27" t="s">
        <v>207</v>
      </c>
      <c r="E73" s="81" t="s">
        <v>17</v>
      </c>
      <c r="F73" s="27" t="s">
        <v>17</v>
      </c>
    </row>
    <row r="74" spans="1:21" x14ac:dyDescent="0.2">
      <c r="B74" s="4">
        <f xml:space="preserve"> ROW( co_impactYears[[#This Row],[row_id]] ) - ROW(co_impactYears[[#Headers],[row_id]] )</f>
        <v>23</v>
      </c>
      <c r="C74" s="7" t="s">
        <v>430</v>
      </c>
      <c r="D74" s="27" t="s">
        <v>207</v>
      </c>
      <c r="E74" s="81" t="s">
        <v>17</v>
      </c>
      <c r="F74" s="27" t="s">
        <v>17</v>
      </c>
    </row>
    <row r="75" spans="1:21" x14ac:dyDescent="0.2">
      <c r="B75" s="4">
        <f xml:space="preserve"> ROW( co_impactYears[[#This Row],[row_id]] ) - ROW(co_impactYears[[#Headers],[row_id]] )</f>
        <v>24</v>
      </c>
      <c r="C75" s="7" t="s">
        <v>63</v>
      </c>
      <c r="D75" s="27" t="s">
        <v>207</v>
      </c>
      <c r="E75" s="81" t="s">
        <v>17</v>
      </c>
      <c r="F75" s="27" t="s">
        <v>17</v>
      </c>
    </row>
    <row r="76" spans="1:21" x14ac:dyDescent="0.2">
      <c r="B76" s="4">
        <f xml:space="preserve"> ROW( co_impactYears[[#This Row],[row_id]] ) - ROW(co_impactYears[[#Headers],[row_id]] )</f>
        <v>25</v>
      </c>
      <c r="C76" s="7" t="s">
        <v>105</v>
      </c>
      <c r="D76" s="27" t="s">
        <v>207</v>
      </c>
      <c r="E76" s="81" t="s">
        <v>17</v>
      </c>
      <c r="F76" s="27" t="s">
        <v>17</v>
      </c>
    </row>
    <row r="77" spans="1:21" x14ac:dyDescent="0.2">
      <c r="B77" s="4">
        <f xml:space="preserve"> ROW( co_impactYears[[#This Row],[row_id]] ) - ROW(co_impactYears[[#Headers],[row_id]] )</f>
        <v>26</v>
      </c>
      <c r="C77" s="7" t="s">
        <v>340</v>
      </c>
      <c r="D77" s="27" t="s">
        <v>207</v>
      </c>
      <c r="E77" s="81" t="s">
        <v>17</v>
      </c>
      <c r="F77" s="27" t="s">
        <v>17</v>
      </c>
    </row>
    <row r="78" spans="1:21" x14ac:dyDescent="0.2">
      <c r="B78" s="4">
        <f xml:space="preserve"> ROW( co_impactYears[[#This Row],[row_id]] ) - ROW(co_impactYears[[#Headers],[row_id]] )</f>
        <v>27</v>
      </c>
      <c r="C78" s="7" t="s">
        <v>24</v>
      </c>
      <c r="D78" s="27" t="s">
        <v>17</v>
      </c>
      <c r="E78" s="81">
        <v>2010</v>
      </c>
      <c r="F78" s="27">
        <v>2090</v>
      </c>
    </row>
    <row r="80" spans="1:21" ht="15" x14ac:dyDescent="0.25">
      <c r="A80" s="16"/>
      <c r="B80" s="17" t="s">
        <v>380</v>
      </c>
      <c r="C80" s="17"/>
      <c r="D80" s="17"/>
      <c r="E80" s="17"/>
      <c r="F80" s="17"/>
      <c r="G80" s="17"/>
      <c r="H80" s="17"/>
      <c r="I80" s="17"/>
      <c r="J80" s="17"/>
      <c r="K80" s="17"/>
      <c r="L80" s="17"/>
      <c r="M80" s="17"/>
      <c r="N80" s="17"/>
      <c r="O80" s="17"/>
      <c r="P80" s="17"/>
      <c r="Q80" s="17"/>
      <c r="R80" s="17"/>
      <c r="S80" s="17"/>
      <c r="T80" s="17"/>
      <c r="U80" s="17"/>
    </row>
    <row r="81" spans="2:15" x14ac:dyDescent="0.2">
      <c r="B81" s="3" t="s">
        <v>381</v>
      </c>
      <c r="C81" s="3"/>
      <c r="D81" s="3"/>
      <c r="E81" s="10"/>
      <c r="F81" s="3"/>
      <c r="G81" s="3"/>
      <c r="H81" s="3"/>
      <c r="I81" s="3"/>
      <c r="J81" s="3"/>
      <c r="K81" s="3"/>
    </row>
    <row r="82" spans="2:15" x14ac:dyDescent="0.2">
      <c r="B82" s="3" t="s">
        <v>382</v>
      </c>
      <c r="C82" s="3"/>
      <c r="D82" s="3"/>
      <c r="E82" s="10"/>
      <c r="F82" s="3"/>
      <c r="G82" s="3"/>
      <c r="H82" s="3"/>
      <c r="I82" s="3"/>
      <c r="J82" s="3"/>
      <c r="K82" s="3"/>
    </row>
    <row r="83" spans="2:15" x14ac:dyDescent="0.2">
      <c r="B83" s="3" t="s">
        <v>383</v>
      </c>
      <c r="C83" s="3"/>
      <c r="D83" s="3"/>
      <c r="E83" s="10"/>
      <c r="F83" s="3"/>
      <c r="G83" s="3"/>
      <c r="H83" s="3"/>
      <c r="I83" s="3"/>
      <c r="J83" s="3"/>
      <c r="K83" s="3"/>
    </row>
    <row r="84" spans="2:15" ht="15" x14ac:dyDescent="0.25">
      <c r="B84" s="44" t="s">
        <v>123</v>
      </c>
      <c r="C84" s="44" t="s">
        <v>56</v>
      </c>
      <c r="D84" s="44" t="s">
        <v>384</v>
      </c>
      <c r="E84" s="44" t="s">
        <v>385</v>
      </c>
      <c r="F84" s="31" t="s">
        <v>282</v>
      </c>
      <c r="G84" s="31" t="s">
        <v>283</v>
      </c>
      <c r="H84" s="29" t="s">
        <v>138</v>
      </c>
      <c r="I84" s="29" t="s">
        <v>592</v>
      </c>
      <c r="J84" s="5"/>
      <c r="K84" s="5"/>
      <c r="L84" s="5"/>
      <c r="M84" s="5"/>
      <c r="N84" s="5"/>
      <c r="O84" s="5"/>
    </row>
    <row r="85" spans="2:15" ht="15" x14ac:dyDescent="0.25">
      <c r="B85" s="4">
        <f xml:space="preserve"> ROW( co_variants[[#This Row],[row_id]] ) - ROW( co_variants[[#Headers],[row_id]] )</f>
        <v>1</v>
      </c>
      <c r="C85" s="7" t="s">
        <v>99</v>
      </c>
      <c r="D85" s="26" t="s">
        <v>116</v>
      </c>
      <c r="E85" s="48">
        <v>2011</v>
      </c>
      <c r="F85" s="27">
        <v>1</v>
      </c>
      <c r="G85" s="27">
        <v>1</v>
      </c>
      <c r="H85" s="47" t="str">
        <f xml:space="preserve"> INDEX( co_impactTypes[damageAdjName], MATCH( co_variants[[#This Row],[sector_id]], co_impactTypes[sector_id], 0 ) ) &amp;
   IF( co_variants[[#This Row],[sector_id]] = "Roads","_" &amp; co_variants[[#This Row],[variant_id]], "" )</f>
        <v>none</v>
      </c>
      <c r="I85" s="34" cm="1">
        <f t="array" ref="I85" xml:space="preserve"> --( SUMPRODUCT( --( co_impactTypes[sector_id] = co_variants[[#This Row],[sector_id]] ) ) &gt;= 1 )</f>
        <v>1</v>
      </c>
      <c r="J85"/>
      <c r="K85"/>
      <c r="L85"/>
      <c r="M85"/>
    </row>
    <row r="86" spans="2:15" ht="15" x14ac:dyDescent="0.25">
      <c r="B86" s="4">
        <f xml:space="preserve"> ROW( co_variants[[#This Row],[row_id]] ) - ROW( co_variants[[#Headers],[row_id]] )</f>
        <v>2</v>
      </c>
      <c r="C86" s="7" t="s">
        <v>99</v>
      </c>
      <c r="D86" s="26" t="s">
        <v>224</v>
      </c>
      <c r="E86" s="48">
        <v>2040</v>
      </c>
      <c r="F86" s="27">
        <v>0</v>
      </c>
      <c r="G86" s="27">
        <v>0</v>
      </c>
      <c r="H86" s="47" t="str">
        <f xml:space="preserve"> INDEX( co_impactTypes[damageAdjName], MATCH( co_variants[[#This Row],[sector_id]], co_impactTypes[sector_id], 0 ) ) &amp;
   IF( co_variants[[#This Row],[sector_id]] = "Roads","_" &amp; co_variants[[#This Row],[variant_id]], "" )</f>
        <v>none</v>
      </c>
      <c r="I86" s="34" cm="1">
        <f t="array" ref="I86" xml:space="preserve"> --( SUMPRODUCT( --( co_impactTypes[sector_id] = co_variants[[#This Row],[sector_id]] ) ) &gt;= 1 )</f>
        <v>1</v>
      </c>
      <c r="J86"/>
      <c r="K86"/>
      <c r="L86"/>
      <c r="M86"/>
    </row>
    <row r="87" spans="2:15" ht="15" x14ac:dyDescent="0.25">
      <c r="B87" s="4">
        <f xml:space="preserve"> ROW( co_variants[[#This Row],[row_id]] ) - ROW( co_variants[[#Headers],[row_id]] )</f>
        <v>3</v>
      </c>
      <c r="C87" s="7" t="s">
        <v>274</v>
      </c>
      <c r="D87" s="26" t="s">
        <v>38</v>
      </c>
      <c r="E87" s="48" t="s">
        <v>207</v>
      </c>
      <c r="F87" s="27">
        <v>1</v>
      </c>
      <c r="G87" s="27">
        <v>0</v>
      </c>
      <c r="H87" s="47" t="str">
        <f xml:space="preserve"> INDEX( co_impactTypes[damageAdjName], MATCH( co_variants[[#This Row],[sector_id]], co_impactTypes[sector_id], 0 ) ) &amp;
   IF( co_variants[[#This Row],[sector_id]] = "Roads","_" &amp; co_variants[[#This Row],[variant_id]], "" )</f>
        <v>none</v>
      </c>
      <c r="I87" s="34" cm="1">
        <f t="array" ref="I87" xml:space="preserve"> --( SUMPRODUCT( --( co_impactTypes[sector_id] = co_variants[[#This Row],[sector_id]] ) ) &gt;= 1 )</f>
        <v>1</v>
      </c>
      <c r="J87"/>
      <c r="K87"/>
      <c r="L87"/>
      <c r="M87"/>
    </row>
    <row r="88" spans="2:15" ht="15" x14ac:dyDescent="0.25">
      <c r="B88" s="4">
        <f xml:space="preserve"> ROW( co_variants[[#This Row],[row_id]] ) - ROW( co_variants[[#Headers],[row_id]] )</f>
        <v>4</v>
      </c>
      <c r="C88" s="7" t="s">
        <v>553</v>
      </c>
      <c r="D88" s="26" t="s">
        <v>389</v>
      </c>
      <c r="E88" s="48" t="s">
        <v>388</v>
      </c>
      <c r="F88" s="61">
        <v>1</v>
      </c>
      <c r="G88" s="61">
        <v>1</v>
      </c>
      <c r="H88" s="47" t="str">
        <f xml:space="preserve"> INDEX( co_impactTypes[damageAdjName], MATCH( co_variants[[#This Row],[sector_id]], co_impactTypes[sector_id], 0 ) ) &amp;
   IF( co_variants[[#This Row],[sector_id]] = "Roads","_" &amp; co_variants[[#This Row],[variant_id]], "" )</f>
        <v>none</v>
      </c>
      <c r="I88" s="34" cm="1">
        <f t="array" ref="I88" xml:space="preserve"> --( SUMPRODUCT( --( co_impactTypes[sector_id] = co_variants[[#This Row],[sector_id]] ) ) &gt;= 1 )</f>
        <v>1</v>
      </c>
      <c r="J88"/>
      <c r="K88"/>
      <c r="L88"/>
      <c r="M88"/>
    </row>
    <row r="89" spans="2:15" ht="15" x14ac:dyDescent="0.25">
      <c r="B89" s="4">
        <f xml:space="preserve"> ROW( co_variants[[#This Row],[row_id]] ) - ROW( co_variants[[#Headers],[row_id]] )</f>
        <v>5</v>
      </c>
      <c r="C89" s="7" t="s">
        <v>553</v>
      </c>
      <c r="D89" s="26" t="s">
        <v>390</v>
      </c>
      <c r="E89" s="48" t="s">
        <v>596</v>
      </c>
      <c r="F89" s="61">
        <v>0</v>
      </c>
      <c r="G89" s="61">
        <v>0</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2:15" ht="15" x14ac:dyDescent="0.25">
      <c r="B90" s="4">
        <f xml:space="preserve"> ROW( co_variants[[#This Row],[row_id]] ) - ROW( co_variants[[#Headers],[row_id]] )</f>
        <v>6</v>
      </c>
      <c r="C90" s="7" t="s">
        <v>553</v>
      </c>
      <c r="D90" s="26" t="s">
        <v>391</v>
      </c>
      <c r="E90" s="48" t="s">
        <v>597</v>
      </c>
      <c r="F90" s="61">
        <v>0</v>
      </c>
      <c r="G90" s="61">
        <v>0</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1</v>
      </c>
      <c r="J90"/>
      <c r="K90"/>
      <c r="L90"/>
      <c r="M90"/>
    </row>
    <row r="91" spans="2:15" ht="15" x14ac:dyDescent="0.25">
      <c r="B91" s="4">
        <f xml:space="preserve"> ROW( co_variants[[#This Row],[row_id]] ) - ROW( co_variants[[#Headers],[row_id]] )</f>
        <v>7</v>
      </c>
      <c r="C91" s="7" t="s">
        <v>371</v>
      </c>
      <c r="D91" s="48" t="s">
        <v>356</v>
      </c>
      <c r="E91" s="48" t="s">
        <v>362</v>
      </c>
      <c r="F91" s="61">
        <v>1</v>
      </c>
      <c r="G91" s="61">
        <v>1</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1</v>
      </c>
      <c r="J91"/>
      <c r="K91"/>
      <c r="L91"/>
      <c r="M91"/>
    </row>
    <row r="92" spans="2:15" ht="15" x14ac:dyDescent="0.25">
      <c r="B92" s="4">
        <f xml:space="preserve"> ROW( co_variants[[#This Row],[row_id]] ) - ROW( co_variants[[#Headers],[row_id]] )</f>
        <v>8</v>
      </c>
      <c r="C92" s="7" t="s">
        <v>371</v>
      </c>
      <c r="D92" s="48" t="s">
        <v>355</v>
      </c>
      <c r="E92" s="48" t="s">
        <v>363</v>
      </c>
      <c r="F92" s="61">
        <v>0</v>
      </c>
      <c r="G92" s="61">
        <v>0</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1</v>
      </c>
      <c r="J92"/>
      <c r="K92"/>
      <c r="L92"/>
      <c r="M92"/>
    </row>
    <row r="93" spans="2:15" ht="15" x14ac:dyDescent="0.25">
      <c r="B93" s="4">
        <f xml:space="preserve"> ROW( co_variants[[#This Row],[row_id]] ) - ROW( co_variants[[#Headers],[row_id]] )</f>
        <v>9</v>
      </c>
      <c r="C93" s="7" t="s">
        <v>372</v>
      </c>
      <c r="D93" s="26" t="s">
        <v>38</v>
      </c>
      <c r="E93" s="48" t="s">
        <v>207</v>
      </c>
      <c r="F93" s="61">
        <v>1</v>
      </c>
      <c r="G93" s="61">
        <v>1</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1</v>
      </c>
      <c r="J93"/>
      <c r="K93"/>
      <c r="L93"/>
      <c r="M93"/>
    </row>
    <row r="94" spans="2:15" ht="15" x14ac:dyDescent="0.25">
      <c r="B94" s="4">
        <f xml:space="preserve"> ROW( co_variants[[#This Row],[row_id]] ) - ROW( co_variants[[#Headers],[row_id]] )</f>
        <v>10</v>
      </c>
      <c r="C94" s="7" t="s">
        <v>554</v>
      </c>
      <c r="D94" s="26" t="s">
        <v>393</v>
      </c>
      <c r="E94" s="48" t="s">
        <v>392</v>
      </c>
      <c r="F94" s="61">
        <v>1</v>
      </c>
      <c r="G94" s="61">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1</v>
      </c>
      <c r="J94"/>
      <c r="K94"/>
      <c r="L94"/>
      <c r="M94"/>
    </row>
    <row r="95" spans="2:15" ht="15" x14ac:dyDescent="0.25">
      <c r="B95" s="4">
        <f xml:space="preserve"> ROW( co_variants[[#This Row],[row_id]] ) - ROW( co_variants[[#Headers],[row_id]] )</f>
        <v>11</v>
      </c>
      <c r="C95" s="7" t="s">
        <v>554</v>
      </c>
      <c r="D95" s="26" t="s">
        <v>390</v>
      </c>
      <c r="E95" s="48" t="s">
        <v>596</v>
      </c>
      <c r="F95" s="61">
        <v>0</v>
      </c>
      <c r="G95" s="61">
        <v>0</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1</v>
      </c>
      <c r="J95"/>
      <c r="K95"/>
      <c r="L95"/>
      <c r="M95"/>
    </row>
    <row r="96" spans="2:15" ht="15" x14ac:dyDescent="0.25">
      <c r="B96" s="4">
        <f xml:space="preserve"> ROW( co_variants[[#This Row],[row_id]] ) - ROW( co_variants[[#Headers],[row_id]] )</f>
        <v>12</v>
      </c>
      <c r="C96" s="7" t="s">
        <v>554</v>
      </c>
      <c r="D96" s="26" t="s">
        <v>391</v>
      </c>
      <c r="E96" s="48" t="s">
        <v>597</v>
      </c>
      <c r="F96" s="61">
        <v>0</v>
      </c>
      <c r="G96" s="61">
        <v>0</v>
      </c>
      <c r="H96" s="47" t="str">
        <f xml:space="preserve"> INDEX( co_impactTypes[damageAdjName], MATCH( co_variants[[#This Row],[sector_id]], co_impactTypes[sector_id], 0 ) ) &amp;
   IF( co_variants[[#This Row],[sector_id]] = "Roads","_"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13</v>
      </c>
      <c r="C97" s="7" t="s">
        <v>21</v>
      </c>
      <c r="D97" s="26" t="s">
        <v>440</v>
      </c>
      <c r="E97" s="48" t="s">
        <v>22</v>
      </c>
      <c r="F97" s="27">
        <v>0</v>
      </c>
      <c r="G97" s="27">
        <v>0</v>
      </c>
      <c r="H97" s="47" t="str">
        <f xml:space="preserve"> INDEX( co_impactTypes[damageAdjName], MATCH( co_variants[[#This Row],[sector_id]], co_impactTypes[sector_id], 0 ) ) &amp;
   IF( co_variants[[#This Row],[sector_id]] = "Roads","_"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14</v>
      </c>
      <c r="C98" s="7" t="s">
        <v>21</v>
      </c>
      <c r="D98" s="26" t="s">
        <v>120</v>
      </c>
      <c r="E98" s="66" t="s">
        <v>45</v>
      </c>
      <c r="F98" s="27">
        <v>0</v>
      </c>
      <c r="G98" s="27">
        <v>0</v>
      </c>
      <c r="H98" s="47" t="str">
        <f xml:space="preserve"> INDEX( co_impactTypes[damageAdjName], MATCH( co_variants[[#This Row],[sector_id]], co_impactTypes[sector_id], 0 ) ) &amp;
   IF( co_variants[[#This Row],[sector_id]] = "Roads","_"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15</v>
      </c>
      <c r="C99" s="7" t="s">
        <v>21</v>
      </c>
      <c r="D99" s="26" t="s">
        <v>121</v>
      </c>
      <c r="E99" s="66" t="s">
        <v>23</v>
      </c>
      <c r="F99" s="27">
        <v>1</v>
      </c>
      <c r="G99" s="27">
        <v>1</v>
      </c>
      <c r="H99" s="47" t="str">
        <f xml:space="preserve"> INDEX( co_impactTypes[damageAdjName], MATCH( co_variants[[#This Row],[sector_id]], co_impactTypes[sector_id], 0 ) ) &amp;
   IF( co_variants[[#This Row],[sector_id]] = "Roads","_"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16</v>
      </c>
      <c r="C100" s="7" t="s">
        <v>57</v>
      </c>
      <c r="D100" s="26" t="s">
        <v>38</v>
      </c>
      <c r="E100" s="48" t="s">
        <v>207</v>
      </c>
      <c r="F100" s="27">
        <v>1</v>
      </c>
      <c r="G100" s="27">
        <v>1</v>
      </c>
      <c r="H100" s="47" t="str">
        <f xml:space="preserve"> INDEX( co_impactTypes[damageAdjName], MATCH( co_variants[[#This Row],[sector_id]], co_impactTypes[sector_id], 0 ) ) &amp;
   IF( co_variants[[#This Row],[sector_id]] = "Roads","_" &amp; co_variants[[#This Row],[variant_id]], "" )</f>
        <v>elecSD_refCosts</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17</v>
      </c>
      <c r="C101" s="7" t="s">
        <v>271</v>
      </c>
      <c r="D101" s="26" t="s">
        <v>440</v>
      </c>
      <c r="E101" s="48" t="s">
        <v>22</v>
      </c>
      <c r="F101" s="27">
        <v>0</v>
      </c>
      <c r="G101" s="27">
        <v>0</v>
      </c>
      <c r="H101" s="47" t="str">
        <f xml:space="preserve"> INDEX( co_impactTypes[damageAdjName], MATCH( co_variants[[#This Row],[sector_id]], co_impactTypes[sector_id], 0 ) ) &amp;
   IF( co_variants[[#This Row],[sector_id]] = "Roads","_" &amp; co_variants[[#This Row],[variant_id]], "" )</f>
        <v>elecTD_growthFactor</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18</v>
      </c>
      <c r="C102" s="7" t="s">
        <v>271</v>
      </c>
      <c r="D102" s="26" t="s">
        <v>120</v>
      </c>
      <c r="E102" s="66" t="s">
        <v>45</v>
      </c>
      <c r="F102" s="27">
        <v>0</v>
      </c>
      <c r="G102" s="27">
        <v>0</v>
      </c>
      <c r="H102" s="47" t="str">
        <f xml:space="preserve"> INDEX( co_impactTypes[damageAdjName], MATCH( co_variants[[#This Row],[sector_id]], co_impactTypes[sector_id], 0 ) ) &amp;
   IF( co_variants[[#This Row],[sector_id]] = "Roads","_" &amp; co_variants[[#This Row],[variant_id]], "" )</f>
        <v>elecTD_growthFactor</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19</v>
      </c>
      <c r="C103" s="7" t="s">
        <v>271</v>
      </c>
      <c r="D103" s="26" t="s">
        <v>121</v>
      </c>
      <c r="E103" s="66" t="s">
        <v>23</v>
      </c>
      <c r="F103" s="27">
        <v>1</v>
      </c>
      <c r="G103" s="27">
        <v>1</v>
      </c>
      <c r="H103" s="47" t="str">
        <f xml:space="preserve"> INDEX( co_impactTypes[damageAdjName], MATCH( co_variants[[#This Row],[sector_id]], co_impactTypes[sector_id], 0 ) ) &amp;
   IF( co_variants[[#This Row],[sector_id]] = "Roads","_" &amp; co_variants[[#This Row],[variant_id]], "" )</f>
        <v>elecTD_growthFactor</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20</v>
      </c>
      <c r="C104" s="7" t="s">
        <v>15</v>
      </c>
      <c r="D104" s="26" t="s">
        <v>117</v>
      </c>
      <c r="E104" s="48" t="s">
        <v>208</v>
      </c>
      <c r="F104" s="27">
        <v>0</v>
      </c>
      <c r="G104" s="27">
        <v>0</v>
      </c>
      <c r="H104" s="47" t="str">
        <f xml:space="preserve"> INDEX( co_impactTypes[damageAdjName], MATCH( co_variants[[#This Row],[sector_id]], co_impactTypes[sector_id], 0 ) ) &amp;
   IF( co_variants[[#This Row],[sector_id]] = "Roads","_"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21</v>
      </c>
      <c r="C105" s="7" t="s">
        <v>15</v>
      </c>
      <c r="D105" s="26" t="s">
        <v>440</v>
      </c>
      <c r="E105" s="48" t="s">
        <v>22</v>
      </c>
      <c r="F105" s="27">
        <v>1</v>
      </c>
      <c r="G105" s="27">
        <v>0</v>
      </c>
      <c r="H105" s="47" t="str">
        <f xml:space="preserve"> INDEX( co_impactTypes[damageAdjName], MATCH( co_variants[[#This Row],[sector_id]], co_impactTypes[sector_id], 0 ) ) &amp;
   IF( co_variants[[#This Row],[sector_id]] = "Roads","_"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22</v>
      </c>
      <c r="C106" s="7" t="s">
        <v>58</v>
      </c>
      <c r="D106" s="26" t="s">
        <v>118</v>
      </c>
      <c r="E106" s="48" t="s">
        <v>67</v>
      </c>
      <c r="F106" s="27">
        <v>0</v>
      </c>
      <c r="G106" s="27">
        <v>0</v>
      </c>
      <c r="H106" s="47" t="str">
        <f xml:space="preserve"> INDEX( co_impactTypes[damageAdjName], MATCH( co_variants[[#This Row],[sector_id]], co_impactTypes[sector_id], 0 ) ) &amp;
   IF( co_variants[[#This Row],[sector_id]] = "Roads","_"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23</v>
      </c>
      <c r="C107" s="7" t="s">
        <v>58</v>
      </c>
      <c r="D107" s="26" t="s">
        <v>440</v>
      </c>
      <c r="E107" s="48" t="s">
        <v>22</v>
      </c>
      <c r="F107" s="27">
        <v>0</v>
      </c>
      <c r="G107" s="27">
        <v>0</v>
      </c>
      <c r="H107" s="47" t="str">
        <f xml:space="preserve"> INDEX( co_impactTypes[damageAdjName], MATCH( co_variants[[#This Row],[sector_id]], co_impactTypes[sector_id], 0 ) ) &amp;
   IF( co_variants[[#This Row],[sector_id]] = "Roads","_" &amp; co_variants[[#This Row],[variant_id]], "" )</f>
        <v>none</v>
      </c>
      <c r="I107" s="34" cm="1">
        <f t="array" ref="I107" xml:space="preserve"> --( SUMPRODUCT( --( co_impactTypes[sector_id] = co_variants[[#This Row],[sector_id]] ) ) &gt;= 1 )</f>
        <v>1</v>
      </c>
      <c r="J107"/>
      <c r="K107"/>
      <c r="L107"/>
      <c r="M107"/>
    </row>
    <row r="108" spans="2:13" ht="22.5" x14ac:dyDescent="0.25">
      <c r="B108" s="4">
        <f xml:space="preserve"> ROW( co_variants[[#This Row],[row_id]] ) - ROW( co_variants[[#Headers],[row_id]] )</f>
        <v>24</v>
      </c>
      <c r="C108" s="7" t="s">
        <v>58</v>
      </c>
      <c r="D108" s="26" t="s">
        <v>122</v>
      </c>
      <c r="E108" s="66" t="s">
        <v>66</v>
      </c>
      <c r="F108" s="27">
        <v>1</v>
      </c>
      <c r="G108" s="27">
        <v>1</v>
      </c>
      <c r="H108" s="47" t="str">
        <f xml:space="preserve"> INDEX( co_impactTypes[damageAdjName], MATCH( co_variants[[#This Row],[sector_id]], co_impactTypes[sector_id], 0 ) ) &amp;
   IF( co_variants[[#This Row],[sector_id]] = "Roads","_" &amp; co_variants[[#This Row],[variant_id]], "" )</f>
        <v>none</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25</v>
      </c>
      <c r="C109" s="7" t="s">
        <v>19</v>
      </c>
      <c r="D109" s="26" t="s">
        <v>38</v>
      </c>
      <c r="E109" s="48" t="s">
        <v>207</v>
      </c>
      <c r="F109" s="27">
        <v>1</v>
      </c>
      <c r="G109" s="27">
        <v>1</v>
      </c>
      <c r="H109" s="47" t="str">
        <f xml:space="preserve"> INDEX( co_impactTypes[damageAdjName], MATCH( co_variants[[#This Row],[sector_id]], co_impactTypes[sector_id], 0 ) ) &amp;
   IF( co_variants[[#This Row],[sector_id]] = "Roads","_" &amp; co_variants[[#This Row],[variant_id]], "" )</f>
        <v>none</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26</v>
      </c>
      <c r="C110" s="7" t="s">
        <v>18</v>
      </c>
      <c r="D110" s="26" t="s">
        <v>38</v>
      </c>
      <c r="E110" s="48" t="s">
        <v>207</v>
      </c>
      <c r="F110" s="27">
        <v>1</v>
      </c>
      <c r="G110" s="27">
        <v>1</v>
      </c>
      <c r="H110" s="47" t="str">
        <f xml:space="preserve"> INDEX( co_impactTypes[damageAdjName], MATCH( co_variants[[#This Row],[sector_id]], co_impactTypes[sector_id], 0 ) ) &amp;
   IF( co_variants[[#This Row],[sector_id]] = "Roads","_" &amp; co_variants[[#This Row],[variant_id]], "" )</f>
        <v>none</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27</v>
      </c>
      <c r="C111" s="7" t="s">
        <v>59</v>
      </c>
      <c r="D111" s="26" t="s">
        <v>38</v>
      </c>
      <c r="E111" s="48" t="s">
        <v>207</v>
      </c>
      <c r="F111" s="61">
        <v>1</v>
      </c>
      <c r="G111" s="61">
        <v>1</v>
      </c>
      <c r="H111" s="47" t="str">
        <f xml:space="preserve"> INDEX( co_impactTypes[damageAdjName], MATCH( co_variants[[#This Row],[sector_id]], co_impactTypes[sector_id], 0 ) ) &amp;
   IF( co_variants[[#This Row],[sector_id]] = "Roads","_" &amp; co_variants[[#This Row],[variant_id]], "" )</f>
        <v>none</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28</v>
      </c>
      <c r="C112" s="7" t="s">
        <v>626</v>
      </c>
      <c r="D112" s="26" t="s">
        <v>627</v>
      </c>
      <c r="E112" s="48" t="s">
        <v>602</v>
      </c>
      <c r="F112" s="61">
        <v>0</v>
      </c>
      <c r="G112" s="61">
        <v>0</v>
      </c>
      <c r="H112" s="47" t="str">
        <f xml:space="preserve"> INDEX( co_impactTypes[damageAdjName], MATCH( co_variants[[#This Row],[sector_id]], co_impactTypes[sector_id], 0 ) ) &amp;
   IF( co_variants[[#This Row],[sector_id]] = "Roads","_"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29</v>
      </c>
      <c r="C113" s="7" t="s">
        <v>626</v>
      </c>
      <c r="D113" s="26" t="s">
        <v>628</v>
      </c>
      <c r="E113" s="48" t="s">
        <v>601</v>
      </c>
      <c r="F113" s="61">
        <v>1</v>
      </c>
      <c r="G113" s="61">
        <v>1</v>
      </c>
      <c r="H113" s="47" t="str">
        <f xml:space="preserve"> INDEX( co_impactTypes[damageAdjName], MATCH( co_variants[[#This Row],[sector_id]], co_impactTypes[sector_id], 0 ) ) &amp;
   IF( co_variants[[#This Row],[sector_id]] = "Roads","_"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30</v>
      </c>
      <c r="C114" s="7" t="s">
        <v>626</v>
      </c>
      <c r="D114" s="26" t="s">
        <v>629</v>
      </c>
      <c r="E114" s="48" t="s">
        <v>600</v>
      </c>
      <c r="F114" s="61">
        <v>0</v>
      </c>
      <c r="G114" s="61">
        <v>0</v>
      </c>
      <c r="H114" s="47" t="str">
        <f xml:space="preserve"> INDEX( co_impactTypes[damageAdjName], MATCH( co_variants[[#This Row],[sector_id]], co_impactTypes[sector_id], 0 ) ) &amp;
   IF( co_variants[[#This Row],[sector_id]] = "Roads","_" &amp; co_variants[[#This Row],[variant_id]], "" )</f>
        <v>none</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31</v>
      </c>
      <c r="C115" s="7" t="s">
        <v>625</v>
      </c>
      <c r="D115" s="26" t="s">
        <v>627</v>
      </c>
      <c r="E115" s="48" t="s">
        <v>602</v>
      </c>
      <c r="F115" s="61">
        <v>0</v>
      </c>
      <c r="G115" s="61">
        <v>0</v>
      </c>
      <c r="H115" s="47" t="str">
        <f xml:space="preserve"> INDEX( co_impactTypes[damageAdjName], MATCH( co_variants[[#This Row],[sector_id]], co_impactTypes[sector_id], 0 ) ) &amp;
   IF( co_variants[[#This Row],[sector_id]] = "Roads","_" &amp; co_variants[[#This Row],[variant_id]], "" )</f>
        <v>none</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32</v>
      </c>
      <c r="C116" s="7" t="s">
        <v>625</v>
      </c>
      <c r="D116" s="26" t="s">
        <v>628</v>
      </c>
      <c r="E116" s="48" t="s">
        <v>601</v>
      </c>
      <c r="F116" s="61">
        <v>1</v>
      </c>
      <c r="G116" s="61">
        <v>0</v>
      </c>
      <c r="H116" s="47" t="str">
        <f xml:space="preserve"> INDEX( co_impactTypes[damageAdjName], MATCH( co_variants[[#This Row],[sector_id]], co_impactTypes[sector_id], 0 ) ) &amp;
   IF( co_variants[[#This Row],[sector_id]] = "Roads","_"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33</v>
      </c>
      <c r="C117" s="7" t="s">
        <v>625</v>
      </c>
      <c r="D117" s="26" t="s">
        <v>629</v>
      </c>
      <c r="E117" s="48" t="s">
        <v>600</v>
      </c>
      <c r="F117" s="61">
        <v>0</v>
      </c>
      <c r="G117" s="61">
        <v>0</v>
      </c>
      <c r="H117" s="47" t="str">
        <f xml:space="preserve"> INDEX( co_impactTypes[damageAdjName], MATCH( co_variants[[#This Row],[sector_id]], co_impactTypes[sector_id], 0 ) ) &amp;
   IF( co_variants[[#This Row],[sector_id]] = "Roads","_" &amp; co_variants[[#This Row],[variant_id]], "" )</f>
        <v>none</v>
      </c>
      <c r="I117" s="34" cm="1">
        <f t="array" ref="I117" xml:space="preserve"> --( SUMPRODUCT( --( co_impactTypes[sector_id] = co_variants[[#This Row],[sector_id]] ) ) &gt;= 1 )</f>
        <v>1</v>
      </c>
      <c r="J117"/>
      <c r="K117"/>
      <c r="L117"/>
      <c r="M117"/>
    </row>
    <row r="118" spans="2:13" ht="15" x14ac:dyDescent="0.25">
      <c r="B118" s="4">
        <f xml:space="preserve"> ROW( co_variants[[#This Row],[row_id]] ) - ROW( co_variants[[#Headers],[row_id]] )</f>
        <v>34</v>
      </c>
      <c r="C118" s="7" t="s">
        <v>555</v>
      </c>
      <c r="D118" s="26" t="s">
        <v>38</v>
      </c>
      <c r="E118" s="48" t="s">
        <v>207</v>
      </c>
      <c r="F118" s="61">
        <v>1</v>
      </c>
      <c r="G118" s="61">
        <v>2</v>
      </c>
      <c r="H118" s="47" t="str">
        <f xml:space="preserve"> INDEX( co_impactTypes[damageAdjName], MATCH( co_variants[[#This Row],[sector_id]], co_impactTypes[sector_id], 0 ) ) &amp;
   IF( co_variants[[#This Row],[sector_id]] = "Roads","_" &amp; co_variants[[#This Row],[variant_id]], "" )</f>
        <v>MH_popDemoAdj</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35</v>
      </c>
      <c r="C119" s="7" t="s">
        <v>46</v>
      </c>
      <c r="D119" s="26" t="s">
        <v>440</v>
      </c>
      <c r="E119" s="48" t="s">
        <v>22</v>
      </c>
      <c r="F119" s="27">
        <v>0</v>
      </c>
      <c r="G119" s="27">
        <v>0</v>
      </c>
      <c r="H119" s="47" t="str">
        <f xml:space="preserve"> INDEX( co_impactTypes[damageAdjName], MATCH( co_variants[[#This Row],[sector_id]], co_impactTypes[sector_id], 0 ) ) &amp;
   IF( co_variants[[#This Row],[sector_id]] = "Roads","_" &amp; co_variants[[#This Row],[variant_id]], "" )</f>
        <v>rail_growth_factor</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36</v>
      </c>
      <c r="C120" s="7" t="s">
        <v>46</v>
      </c>
      <c r="D120" s="26" t="s">
        <v>120</v>
      </c>
      <c r="E120" s="66" t="s">
        <v>45</v>
      </c>
      <c r="F120" s="27">
        <v>0</v>
      </c>
      <c r="G120" s="27">
        <v>0</v>
      </c>
      <c r="H120" s="47" t="str">
        <f xml:space="preserve"> INDEX( co_impactTypes[damageAdjName], MATCH( co_variants[[#This Row],[sector_id]], co_impactTypes[sector_id], 0 ) ) &amp;
   IF( co_variants[[#This Row],[sector_id]] = "Roads","_" &amp; co_variants[[#This Row],[variant_id]], "" )</f>
        <v>rail_growth_factor</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37</v>
      </c>
      <c r="C121" s="7" t="s">
        <v>46</v>
      </c>
      <c r="D121" s="26" t="s">
        <v>121</v>
      </c>
      <c r="E121" s="66" t="s">
        <v>23</v>
      </c>
      <c r="F121" s="27">
        <v>1</v>
      </c>
      <c r="G121" s="27">
        <v>1</v>
      </c>
      <c r="H121" s="47" t="str">
        <f xml:space="preserve"> INDEX( co_impactTypes[damageAdjName], MATCH( co_variants[[#This Row],[sector_id]], co_impactTypes[sector_id], 0 ) ) &amp;
   IF( co_variants[[#This Row],[sector_id]] = "Roads","_" &amp; co_variants[[#This Row],[variant_id]], "" )</f>
        <v>rail_growth_factor</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38</v>
      </c>
      <c r="C122" s="7" t="s">
        <v>53</v>
      </c>
      <c r="D122" s="26" t="s">
        <v>440</v>
      </c>
      <c r="E122" s="48" t="s">
        <v>22</v>
      </c>
      <c r="F122" s="27">
        <v>0</v>
      </c>
      <c r="G122" s="27">
        <v>0</v>
      </c>
      <c r="H122" s="47" t="str">
        <f xml:space="preserve"> INDEX( co_impactTypes[damageAdjName], MATCH( co_variants[[#This Row],[sector_id]], co_impactTypes[sector_id], 0 ) ) &amp;
   IF( co_variants[[#This Row],[sector_id]] = "Roads","_" &amp; co_variants[[#This Row],[variant_id]], "" )</f>
        <v>road_miles_and_pop_NoAdapt</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39</v>
      </c>
      <c r="C123" s="7" t="s">
        <v>53</v>
      </c>
      <c r="D123" s="26" t="s">
        <v>120</v>
      </c>
      <c r="E123" s="66" t="s">
        <v>45</v>
      </c>
      <c r="F123" s="27">
        <v>0</v>
      </c>
      <c r="G123" s="27">
        <v>0</v>
      </c>
      <c r="H123" s="47" t="str">
        <f xml:space="preserve"> INDEX( co_impactTypes[damageAdjName], MATCH( co_variants[[#This Row],[sector_id]], co_impactTypes[sector_id], 0 ) ) &amp;
   IF( co_variants[[#This Row],[sector_id]] = "Roads","_" &amp; co_variants[[#This Row],[variant_id]], "" )</f>
        <v>road_miles_and_pop_Proactive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40</v>
      </c>
      <c r="C124" s="7" t="s">
        <v>53</v>
      </c>
      <c r="D124" s="26" t="s">
        <v>121</v>
      </c>
      <c r="E124" s="66" t="s">
        <v>23</v>
      </c>
      <c r="F124" s="27">
        <v>1</v>
      </c>
      <c r="G124" s="27">
        <v>1</v>
      </c>
      <c r="H124" s="47" t="str">
        <f xml:space="preserve"> INDEX( co_impactTypes[damageAdjName], MATCH( co_variants[[#This Row],[sector_id]], co_impactTypes[sector_id], 0 ) ) &amp;
   IF( co_variants[[#This Row],[sector_id]] = "Roads","_" &amp; co_variants[[#This Row],[variant_id]], "" )</f>
        <v>road_miles_and_pop_Reactive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41</v>
      </c>
      <c r="C125" s="7" t="s">
        <v>20</v>
      </c>
      <c r="D125" s="26" t="s">
        <v>38</v>
      </c>
      <c r="E125" s="48" t="s">
        <v>207</v>
      </c>
      <c r="F125" s="27">
        <v>1</v>
      </c>
      <c r="G125" s="27">
        <v>1</v>
      </c>
      <c r="H125" s="47" t="str">
        <f xml:space="preserve"> INDEX( co_impactTypes[damageAdjName], MATCH( co_variants[[#This Row],[sector_id]], co_impactTypes[sector_id], 0 ) ) &amp;
   IF( co_variants[[#This Row],[sector_id]] = "Roads","_"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42</v>
      </c>
      <c r="C126" s="7" t="s">
        <v>61</v>
      </c>
      <c r="D126" s="26" t="s">
        <v>38</v>
      </c>
      <c r="E126" s="48" t="s">
        <v>207</v>
      </c>
      <c r="F126" s="27">
        <v>1</v>
      </c>
      <c r="G126" s="27">
        <v>1</v>
      </c>
      <c r="H126" s="47" t="str">
        <f xml:space="preserve"> INDEX( co_impactTypes[damageAdjName], MATCH( co_variants[[#This Row],[sector_id]], co_impactTypes[sector_id], 0 ) ) &amp;
   IF( co_variants[[#This Row],[sector_id]] = "Roads","_"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43</v>
      </c>
      <c r="C127" s="7" t="s">
        <v>252</v>
      </c>
      <c r="D127" s="26" t="s">
        <v>38</v>
      </c>
      <c r="E127" s="48" t="s">
        <v>207</v>
      </c>
      <c r="F127" s="27">
        <v>1</v>
      </c>
      <c r="G127" s="27">
        <v>1</v>
      </c>
      <c r="H127" s="47" t="str">
        <f xml:space="preserve"> INDEX( co_impactTypes[damageAdjName], MATCH( co_variants[[#This Row],[sector_id]], co_impactTypes[sector_id], 0 ) ) &amp;
   IF( co_variants[[#This Row],[sector_id]] = "Roads","_"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44</v>
      </c>
      <c r="C128" s="7" t="s">
        <v>430</v>
      </c>
      <c r="D128" s="26" t="s">
        <v>38</v>
      </c>
      <c r="E128" s="48" t="s">
        <v>207</v>
      </c>
      <c r="F128" s="61">
        <v>1</v>
      </c>
      <c r="G128" s="61">
        <v>1</v>
      </c>
      <c r="H128" s="47" t="str">
        <f xml:space="preserve"> INDEX( co_impactTypes[damageAdjName], MATCH( co_variants[[#This Row],[sector_id]], co_impactTypes[sector_id], 0 ) ) &amp;
   IF( co_variants[[#This Row],[sector_id]] = "Roads","_" &amp; co_variants[[#This Row],[variant_id]], "" )</f>
        <v>none</v>
      </c>
      <c r="I128" s="34" cm="1">
        <f t="array" ref="I128" xml:space="preserve"> --( SUMPRODUCT( --( co_impactTypes[sector_id] = co_variants[[#This Row],[sector_id]] ) ) &gt;= 1 )</f>
        <v>1</v>
      </c>
      <c r="J128"/>
      <c r="K128"/>
      <c r="L128"/>
      <c r="M128"/>
    </row>
    <row r="129" spans="1:21" ht="15" x14ac:dyDescent="0.25">
      <c r="B129" s="4">
        <f xml:space="preserve"> ROW( co_variants[[#This Row],[row_id]] ) - ROW( co_variants[[#Headers],[row_id]] )</f>
        <v>45</v>
      </c>
      <c r="C129" s="7" t="s">
        <v>63</v>
      </c>
      <c r="D129" s="26" t="s">
        <v>38</v>
      </c>
      <c r="E129" s="48" t="s">
        <v>207</v>
      </c>
      <c r="F129" s="27">
        <v>1</v>
      </c>
      <c r="G129" s="27">
        <v>1</v>
      </c>
      <c r="H129" s="47" t="str">
        <f xml:space="preserve"> INDEX( co_impactTypes[damageAdjName], MATCH( co_variants[[#This Row],[sector_id]], co_impactTypes[sector_id], 0 ) ) &amp;
   IF( co_variants[[#This Row],[sector_id]] = "Roads","_" &amp; co_variants[[#This Row],[variant_id]], "" )</f>
        <v>none</v>
      </c>
      <c r="I129" s="34" cm="1">
        <f t="array" ref="I129" xml:space="preserve"> --( SUMPRODUCT( --( co_impactTypes[sector_id] = co_variants[[#This Row],[sector_id]] ) ) &gt;= 1 )</f>
        <v>1</v>
      </c>
      <c r="J129"/>
      <c r="K129"/>
      <c r="L129"/>
      <c r="M129"/>
    </row>
    <row r="130" spans="1:21" ht="15" x14ac:dyDescent="0.25">
      <c r="B130" s="4">
        <f xml:space="preserve"> ROW( co_variants[[#This Row],[row_id]] ) - ROW( co_variants[[#Headers],[row_id]] )</f>
        <v>46</v>
      </c>
      <c r="C130" s="7" t="s">
        <v>105</v>
      </c>
      <c r="D130" s="26" t="s">
        <v>38</v>
      </c>
      <c r="E130" s="48" t="s">
        <v>207</v>
      </c>
      <c r="F130" s="27">
        <v>1</v>
      </c>
      <c r="G130" s="27">
        <v>1</v>
      </c>
      <c r="H130" s="47" t="str">
        <f xml:space="preserve"> INDEX( co_impactTypes[damageAdjName], MATCH( co_variants[[#This Row],[sector_id]], co_impactTypes[sector_id], 0 ) ) &amp;
   IF( co_variants[[#This Row],[sector_id]] = "Roads","_" &amp; co_variants[[#This Row],[variant_id]], "" )</f>
        <v>none</v>
      </c>
      <c r="I130" s="34" cm="1">
        <f t="array" ref="I130" xml:space="preserve"> --( SUMPRODUCT( --( co_impactTypes[sector_id] = co_variants[[#This Row],[sector_id]] ) ) &gt;= 1 )</f>
        <v>1</v>
      </c>
      <c r="J130"/>
      <c r="K130"/>
      <c r="L130"/>
      <c r="M130"/>
    </row>
    <row r="131" spans="1:21" ht="15" x14ac:dyDescent="0.25">
      <c r="B131" s="4">
        <f xml:space="preserve"> ROW( co_variants[[#This Row],[row_id]] ) - ROW( co_variants[[#Headers],[row_id]] )</f>
        <v>47</v>
      </c>
      <c r="C131" s="7" t="s">
        <v>340</v>
      </c>
      <c r="D131" s="26" t="s">
        <v>38</v>
      </c>
      <c r="E131" s="48" t="s">
        <v>207</v>
      </c>
      <c r="F131" s="61">
        <v>1</v>
      </c>
      <c r="G131" s="61">
        <v>1</v>
      </c>
      <c r="H131" s="47" t="str">
        <f xml:space="preserve"> INDEX( co_impactTypes[damageAdjName], MATCH( co_variants[[#This Row],[sector_id]], co_impactTypes[sector_id], 0 ) ) &amp;
   IF( co_variants[[#This Row],[sector_id]] = "Roads","_" &amp; co_variants[[#This Row],[variant_id]], "" )</f>
        <v>none</v>
      </c>
      <c r="I131" s="34" cm="1">
        <f t="array" ref="I131" xml:space="preserve"> --( SUMPRODUCT( --( co_impactTypes[sector_id] = co_variants[[#This Row],[sector_id]] ) ) &gt;= 1 )</f>
        <v>1</v>
      </c>
      <c r="J131"/>
      <c r="K131"/>
      <c r="L131"/>
      <c r="M131"/>
    </row>
    <row r="132" spans="1:21" ht="15" x14ac:dyDescent="0.25">
      <c r="B132" s="4">
        <f xml:space="preserve"> ROW( co_variants[[#This Row],[row_id]] ) - ROW( co_variants[[#Headers],[row_id]] )</f>
        <v>48</v>
      </c>
      <c r="C132" s="7" t="s">
        <v>24</v>
      </c>
      <c r="D132" s="26" t="s">
        <v>38</v>
      </c>
      <c r="E132" s="48" t="s">
        <v>207</v>
      </c>
      <c r="F132" s="27">
        <v>1</v>
      </c>
      <c r="G132" s="27">
        <v>1</v>
      </c>
      <c r="H132" s="47" t="str">
        <f xml:space="preserve"> INDEX( co_impactTypes[damageAdjName], MATCH( co_variants[[#This Row],[sector_id]], co_impactTypes[sector_id], 0 ) ) &amp;
   IF( co_variants[[#This Row],[sector_id]] = "Roads","_" &amp; co_variants[[#This Row],[variant_id]], "" )</f>
        <v>none</v>
      </c>
      <c r="I132" s="34" cm="1">
        <f t="array" ref="I132" xml:space="preserve"> --( SUMPRODUCT( --( co_impactTypes[sector_id] = co_variants[[#This Row],[sector_id]] ) ) &gt;= 1 )</f>
        <v>1</v>
      </c>
      <c r="J132"/>
      <c r="K132"/>
      <c r="L132"/>
      <c r="M132"/>
    </row>
    <row r="134" spans="1:21" ht="15" x14ac:dyDescent="0.25">
      <c r="A134" s="16"/>
      <c r="B134" s="17" t="s">
        <v>37</v>
      </c>
      <c r="C134" s="17"/>
      <c r="D134" s="17"/>
      <c r="E134" s="17"/>
      <c r="F134" s="17"/>
      <c r="G134" s="17"/>
      <c r="H134" s="17"/>
      <c r="I134" s="17"/>
      <c r="J134" s="17"/>
      <c r="K134" s="17"/>
      <c r="L134" s="17"/>
      <c r="M134" s="17"/>
      <c r="N134" s="17"/>
      <c r="O134" s="17"/>
      <c r="P134" s="17"/>
      <c r="Q134" s="17"/>
      <c r="R134" s="17"/>
      <c r="S134" s="17"/>
      <c r="T134" s="17"/>
      <c r="U134" s="17"/>
    </row>
    <row r="135" spans="1:21" x14ac:dyDescent="0.2">
      <c r="B135" s="3" t="s">
        <v>364</v>
      </c>
    </row>
    <row r="136" spans="1:21" x14ac:dyDescent="0.2">
      <c r="B136" s="29" t="s">
        <v>123</v>
      </c>
      <c r="C136" s="29" t="s">
        <v>56</v>
      </c>
      <c r="D136" s="29" t="s">
        <v>211</v>
      </c>
      <c r="E136" s="30" t="s">
        <v>212</v>
      </c>
      <c r="F136" s="29" t="s">
        <v>213</v>
      </c>
      <c r="G136" s="29" t="s">
        <v>284</v>
      </c>
      <c r="H136" s="29" t="s">
        <v>135</v>
      </c>
      <c r="I136" s="29" t="s">
        <v>137</v>
      </c>
      <c r="J136" s="29" t="s">
        <v>138</v>
      </c>
      <c r="K136" s="29" t="s">
        <v>96</v>
      </c>
      <c r="L136" s="29" t="s">
        <v>198</v>
      </c>
      <c r="M136" s="31" t="s">
        <v>106</v>
      </c>
      <c r="N136" s="31" t="s">
        <v>107</v>
      </c>
      <c r="O136" s="31" t="s">
        <v>108</v>
      </c>
      <c r="P136" s="31" t="s">
        <v>109</v>
      </c>
    </row>
    <row r="137" spans="1:21" x14ac:dyDescent="0.2">
      <c r="B137" s="4">
        <f xml:space="preserve"> ROW( co_impactTypes[[#This Row],[row_id]] ) - ROW(co_impactTypes[[#Headers],[row_id]] )</f>
        <v>1</v>
      </c>
      <c r="C137" s="7" t="s">
        <v>99</v>
      </c>
      <c r="D137" s="28" t="s">
        <v>142</v>
      </c>
      <c r="E137" s="48" t="s">
        <v>100</v>
      </c>
      <c r="F137" s="32" t="s">
        <v>142</v>
      </c>
      <c r="G137" s="28" t="s">
        <v>285</v>
      </c>
      <c r="H137" s="28" t="s">
        <v>87</v>
      </c>
      <c r="I137" s="28" t="s">
        <v>91</v>
      </c>
      <c r="J137" s="28" t="s">
        <v>91</v>
      </c>
      <c r="K137" s="28" t="s">
        <v>129</v>
      </c>
      <c r="L137" s="28" t="s">
        <v>92</v>
      </c>
      <c r="M137" s="27">
        <v>0</v>
      </c>
      <c r="N137" s="27">
        <v>1</v>
      </c>
      <c r="O137" s="27">
        <v>0.4</v>
      </c>
      <c r="P137" s="33">
        <f xml:space="preserve"> IF(co_impactTypes[[#This Row],[econMultiplierName]]="None", "N/A", 2010)</f>
        <v>2010</v>
      </c>
    </row>
    <row r="138" spans="1:21" x14ac:dyDescent="0.2">
      <c r="B138" s="4">
        <f xml:space="preserve"> ROW( co_impactTypes[[#This Row],[row_id]] ) - ROW(co_impactTypes[[#Headers],[row_id]] )</f>
        <v>2</v>
      </c>
      <c r="C138" s="7" t="s">
        <v>99</v>
      </c>
      <c r="D138" s="28" t="s">
        <v>143</v>
      </c>
      <c r="E138" s="48" t="s">
        <v>101</v>
      </c>
      <c r="F138" s="32" t="s">
        <v>143</v>
      </c>
      <c r="G138" s="28" t="s">
        <v>285</v>
      </c>
      <c r="H138" s="28" t="s">
        <v>87</v>
      </c>
      <c r="I138" s="28" t="s">
        <v>91</v>
      </c>
      <c r="J138" s="28" t="s">
        <v>91</v>
      </c>
      <c r="K138" s="28" t="s">
        <v>129</v>
      </c>
      <c r="L138" s="28" t="s">
        <v>92</v>
      </c>
      <c r="M138" s="27">
        <v>0</v>
      </c>
      <c r="N138" s="27">
        <v>1</v>
      </c>
      <c r="O138" s="27">
        <v>0.4</v>
      </c>
      <c r="P138" s="33">
        <f xml:space="preserve"> IF(co_impactTypes[[#This Row],[econMultiplierName]]="None", "N/A", 2010)</f>
        <v>2010</v>
      </c>
    </row>
    <row r="139" spans="1:21" x14ac:dyDescent="0.2">
      <c r="B139" s="4">
        <f xml:space="preserve"> ROW( co_impactTypes[[#This Row],[row_id]] ) - ROW(co_impactTypes[[#Headers],[row_id]] )</f>
        <v>3</v>
      </c>
      <c r="C139" s="7" t="s">
        <v>274</v>
      </c>
      <c r="D139" s="28" t="s">
        <v>38</v>
      </c>
      <c r="E139" s="48" t="s">
        <v>207</v>
      </c>
      <c r="F139" s="32" t="s">
        <v>275</v>
      </c>
      <c r="G139" s="28" t="s">
        <v>561</v>
      </c>
      <c r="H139" s="28" t="s">
        <v>278</v>
      </c>
      <c r="I139" s="28" t="s">
        <v>91</v>
      </c>
      <c r="J139" s="28" t="s">
        <v>91</v>
      </c>
      <c r="K139" s="28" t="s">
        <v>91</v>
      </c>
      <c r="L139" s="28" t="s">
        <v>91</v>
      </c>
      <c r="M139" s="27">
        <v>0</v>
      </c>
      <c r="N139" s="27">
        <v>1</v>
      </c>
      <c r="O139" s="27">
        <v>1</v>
      </c>
      <c r="P139" s="33" t="str">
        <f xml:space="preserve"> IF(co_impactTypes[[#This Row],[econMultiplierName]]="None", "N/A", 2010)</f>
        <v>N/A</v>
      </c>
    </row>
    <row r="140" spans="1:21" x14ac:dyDescent="0.2">
      <c r="B140" s="4">
        <f xml:space="preserve"> ROW( co_impactTypes[[#This Row],[row_id]] ) - ROW(co_impactTypes[[#Headers],[row_id]] )</f>
        <v>4</v>
      </c>
      <c r="C140" s="7" t="s">
        <v>553</v>
      </c>
      <c r="D140" s="28" t="s">
        <v>38</v>
      </c>
      <c r="E140" s="48" t="s">
        <v>207</v>
      </c>
      <c r="F140" s="32" t="s">
        <v>394</v>
      </c>
      <c r="G140" s="28" t="s">
        <v>285</v>
      </c>
      <c r="H140" s="28" t="s">
        <v>87</v>
      </c>
      <c r="I140" s="28" t="s">
        <v>91</v>
      </c>
      <c r="J140" s="28" t="s">
        <v>91</v>
      </c>
      <c r="K140" s="28" t="s">
        <v>129</v>
      </c>
      <c r="L140" s="28" t="s">
        <v>92</v>
      </c>
      <c r="M140" s="27">
        <v>0</v>
      </c>
      <c r="N140" s="27">
        <v>1</v>
      </c>
      <c r="O140" s="27">
        <v>0.4</v>
      </c>
      <c r="P140" s="33">
        <f xml:space="preserve"> IF(co_impactTypes[[#This Row],[econMultiplierName]]="None", "N/A", 2010)</f>
        <v>2010</v>
      </c>
    </row>
    <row r="141" spans="1:21" x14ac:dyDescent="0.2">
      <c r="B141" s="4">
        <f xml:space="preserve"> ROW( co_impactTypes[[#This Row],[row_id]] ) - ROW(co_impactTypes[[#Headers],[row_id]] )</f>
        <v>5</v>
      </c>
      <c r="C141" s="7" t="s">
        <v>371</v>
      </c>
      <c r="D141" s="28" t="s">
        <v>357</v>
      </c>
      <c r="E141" s="28" t="s">
        <v>357</v>
      </c>
      <c r="F141" s="32" t="s">
        <v>361</v>
      </c>
      <c r="G141" s="28" t="s">
        <v>38</v>
      </c>
      <c r="H141" s="28" t="s">
        <v>91</v>
      </c>
      <c r="I141" s="28" t="s">
        <v>91</v>
      </c>
      <c r="J141" s="28" t="s">
        <v>91</v>
      </c>
      <c r="K141" s="28" t="s">
        <v>91</v>
      </c>
      <c r="L141" s="28" t="s">
        <v>91</v>
      </c>
      <c r="M141" s="27">
        <v>0</v>
      </c>
      <c r="N141" s="27">
        <v>1</v>
      </c>
      <c r="O141" s="27">
        <v>1</v>
      </c>
      <c r="P141" s="33" t="str">
        <f xml:space="preserve"> IF(co_impactTypes[[#This Row],[econMultiplierName]]="None", "N/A", 2010)</f>
        <v>N/A</v>
      </c>
    </row>
    <row r="142" spans="1:21" x14ac:dyDescent="0.2">
      <c r="B142" s="4">
        <f xml:space="preserve"> ROW( co_impactTypes[[#This Row],[row_id]] ) - ROW(co_impactTypes[[#Headers],[row_id]] )</f>
        <v>6</v>
      </c>
      <c r="C142" s="7" t="s">
        <v>371</v>
      </c>
      <c r="D142" s="28" t="s">
        <v>358</v>
      </c>
      <c r="E142" s="28" t="s">
        <v>358</v>
      </c>
      <c r="F142" s="32" t="s">
        <v>361</v>
      </c>
      <c r="G142" s="28" t="s">
        <v>38</v>
      </c>
      <c r="H142" s="28" t="s">
        <v>91</v>
      </c>
      <c r="I142" s="77" t="s">
        <v>91</v>
      </c>
      <c r="J142" s="77" t="s">
        <v>91</v>
      </c>
      <c r="K142" s="28" t="s">
        <v>91</v>
      </c>
      <c r="L142" s="28" t="s">
        <v>91</v>
      </c>
      <c r="M142" s="27">
        <v>0</v>
      </c>
      <c r="N142" s="27">
        <v>1</v>
      </c>
      <c r="O142" s="27">
        <v>1</v>
      </c>
      <c r="P142" s="33" t="str">
        <f xml:space="preserve"> IF(co_impactTypes[[#This Row],[econMultiplierName]]="None", "N/A", 2010)</f>
        <v>N/A</v>
      </c>
    </row>
    <row r="143" spans="1:21" x14ac:dyDescent="0.2">
      <c r="B143" s="4">
        <f xml:space="preserve"> ROW( co_impactTypes[[#This Row],[row_id]] ) - ROW(co_impactTypes[[#Headers],[row_id]] )</f>
        <v>7</v>
      </c>
      <c r="C143" s="7" t="s">
        <v>371</v>
      </c>
      <c r="D143" s="28" t="s">
        <v>359</v>
      </c>
      <c r="E143" s="28" t="s">
        <v>359</v>
      </c>
      <c r="F143" s="32" t="s">
        <v>361</v>
      </c>
      <c r="G143" s="28" t="s">
        <v>38</v>
      </c>
      <c r="H143" s="28" t="s">
        <v>91</v>
      </c>
      <c r="I143" s="28" t="s">
        <v>91</v>
      </c>
      <c r="J143" s="28" t="s">
        <v>91</v>
      </c>
      <c r="K143" s="28" t="s">
        <v>91</v>
      </c>
      <c r="L143" s="28" t="s">
        <v>91</v>
      </c>
      <c r="M143" s="27">
        <v>0</v>
      </c>
      <c r="N143" s="27">
        <v>1</v>
      </c>
      <c r="O143" s="27">
        <v>1</v>
      </c>
      <c r="P143" s="33" t="str">
        <f xml:space="preserve"> IF(co_impactTypes[[#This Row],[econMultiplierName]]="None", "N/A", 2010)</f>
        <v>N/A</v>
      </c>
    </row>
    <row r="144" spans="1:21" x14ac:dyDescent="0.2">
      <c r="B144" s="4">
        <f xml:space="preserve"> ROW( co_impactTypes[[#This Row],[row_id]] ) - ROW(co_impactTypes[[#Headers],[row_id]] )</f>
        <v>8</v>
      </c>
      <c r="C144" s="7" t="s">
        <v>371</v>
      </c>
      <c r="D144" s="28" t="s">
        <v>360</v>
      </c>
      <c r="E144" s="28" t="s">
        <v>360</v>
      </c>
      <c r="F144" s="32" t="s">
        <v>361</v>
      </c>
      <c r="G144" s="28" t="s">
        <v>38</v>
      </c>
      <c r="H144" s="28" t="s">
        <v>91</v>
      </c>
      <c r="I144" s="28" t="s">
        <v>91</v>
      </c>
      <c r="J144" s="28" t="s">
        <v>91</v>
      </c>
      <c r="K144" s="28" t="s">
        <v>91</v>
      </c>
      <c r="L144" s="28" t="s">
        <v>91</v>
      </c>
      <c r="M144" s="27">
        <v>0</v>
      </c>
      <c r="N144" s="27">
        <v>1</v>
      </c>
      <c r="O144" s="27">
        <v>1</v>
      </c>
      <c r="P144" s="33" t="str">
        <f xml:space="preserve"> IF(co_impactTypes[[#This Row],[econMultiplierName]]="None", "N/A", 2010)</f>
        <v>N/A</v>
      </c>
    </row>
    <row r="145" spans="2:16" x14ac:dyDescent="0.2">
      <c r="B145" s="4">
        <f xml:space="preserve"> ROW( co_impactTypes[[#This Row],[row_id]] ) - ROW(co_impactTypes[[#Headers],[row_id]] )</f>
        <v>9</v>
      </c>
      <c r="C145" s="7" t="s">
        <v>372</v>
      </c>
      <c r="D145" s="28" t="s">
        <v>365</v>
      </c>
      <c r="E145" s="32" t="s">
        <v>365</v>
      </c>
      <c r="F145" s="32" t="s">
        <v>375</v>
      </c>
      <c r="G145" s="28" t="s">
        <v>376</v>
      </c>
      <c r="H145" s="28" t="s">
        <v>91</v>
      </c>
      <c r="I145" s="28" t="s">
        <v>91</v>
      </c>
      <c r="J145" s="28" t="s">
        <v>91</v>
      </c>
      <c r="K145" s="28" t="s">
        <v>367</v>
      </c>
      <c r="L145" s="28" t="s">
        <v>91</v>
      </c>
      <c r="M145" s="27">
        <v>0</v>
      </c>
      <c r="N145" s="27">
        <v>1</v>
      </c>
      <c r="O145" s="27">
        <v>1</v>
      </c>
      <c r="P145" s="33" t="str">
        <f xml:space="preserve"> IF(co_impactTypes[[#This Row],[econMultiplierName]]="None", "N/A", 2010)</f>
        <v>N/A</v>
      </c>
    </row>
    <row r="146" spans="2:16" x14ac:dyDescent="0.2">
      <c r="B146" s="4">
        <f xml:space="preserve"> ROW( co_impactTypes[[#This Row],[row_id]] ) - ROW(co_impactTypes[[#Headers],[row_id]] )</f>
        <v>10</v>
      </c>
      <c r="C146" s="7" t="s">
        <v>372</v>
      </c>
      <c r="D146" s="28" t="s">
        <v>366</v>
      </c>
      <c r="E146" s="32" t="s">
        <v>366</v>
      </c>
      <c r="F146" s="32" t="s">
        <v>375</v>
      </c>
      <c r="G146" s="28" t="s">
        <v>376</v>
      </c>
      <c r="H146" s="28" t="s">
        <v>91</v>
      </c>
      <c r="I146" s="28" t="s">
        <v>91</v>
      </c>
      <c r="J146" s="28" t="s">
        <v>91</v>
      </c>
      <c r="K146" s="28" t="s">
        <v>369</v>
      </c>
      <c r="L146" s="28" t="s">
        <v>91</v>
      </c>
      <c r="M146" s="27">
        <v>0</v>
      </c>
      <c r="N146" s="27">
        <v>1</v>
      </c>
      <c r="O146" s="27">
        <v>1</v>
      </c>
      <c r="P146" s="33" t="str">
        <f xml:space="preserve"> IF(co_impactTypes[[#This Row],[econMultiplierName]]="None", "N/A", 2010)</f>
        <v>N/A</v>
      </c>
    </row>
    <row r="147" spans="2:16" x14ac:dyDescent="0.2">
      <c r="B147" s="4">
        <f xml:space="preserve"> ROW( co_impactTypes[[#This Row],[row_id]] ) - ROW(co_impactTypes[[#Headers],[row_id]] )</f>
        <v>11</v>
      </c>
      <c r="C147" s="7" t="s">
        <v>554</v>
      </c>
      <c r="D147" s="28" t="s">
        <v>38</v>
      </c>
      <c r="E147" s="48" t="s">
        <v>207</v>
      </c>
      <c r="F147" s="32" t="s">
        <v>111</v>
      </c>
      <c r="G147" s="28" t="s">
        <v>285</v>
      </c>
      <c r="H147" s="28" t="s">
        <v>87</v>
      </c>
      <c r="I147" s="28" t="s">
        <v>91</v>
      </c>
      <c r="J147" s="28" t="s">
        <v>91</v>
      </c>
      <c r="K147" s="28" t="s">
        <v>129</v>
      </c>
      <c r="L147" s="28" t="s">
        <v>92</v>
      </c>
      <c r="M147" s="27">
        <v>0</v>
      </c>
      <c r="N147" s="27">
        <v>1</v>
      </c>
      <c r="O147" s="27">
        <v>0.4</v>
      </c>
      <c r="P147" s="33">
        <f xml:space="preserve"> IF(co_impactTypes[[#This Row],[econMultiplierName]]="None", "N/A", 2010)</f>
        <v>2010</v>
      </c>
    </row>
    <row r="148" spans="2:16" x14ac:dyDescent="0.2">
      <c r="B148" s="4">
        <f xml:space="preserve"> ROW( co_impactTypes[[#This Row],[row_id]] ) - ROW(co_impactTypes[[#Headers],[row_id]] )</f>
        <v>12</v>
      </c>
      <c r="C148" s="7" t="s">
        <v>21</v>
      </c>
      <c r="D148" s="28" t="s">
        <v>38</v>
      </c>
      <c r="E148" s="48" t="s">
        <v>207</v>
      </c>
      <c r="F148" s="32" t="s">
        <v>145</v>
      </c>
      <c r="G148" s="28" t="s">
        <v>38</v>
      </c>
      <c r="H148" s="28" t="s">
        <v>91</v>
      </c>
      <c r="I148" s="28" t="s">
        <v>91</v>
      </c>
      <c r="J148" s="28" t="s">
        <v>91</v>
      </c>
      <c r="K148" s="28" t="s">
        <v>91</v>
      </c>
      <c r="L148" s="28" t="s">
        <v>91</v>
      </c>
      <c r="M148" s="27">
        <v>0</v>
      </c>
      <c r="N148" s="27">
        <v>1</v>
      </c>
      <c r="O148" s="27">
        <v>1</v>
      </c>
      <c r="P148" s="33" t="str">
        <f xml:space="preserve"> IF(co_impactTypes[[#This Row],[econMultiplierName]]="None", "N/A", 2010)</f>
        <v>N/A</v>
      </c>
    </row>
    <row r="149" spans="2:16" ht="33.75" x14ac:dyDescent="0.2">
      <c r="B149" s="4">
        <f xml:space="preserve"> ROW( co_impactTypes[[#This Row],[row_id]] ) - ROW(co_impactTypes[[#Headers],[row_id]] )</f>
        <v>13</v>
      </c>
      <c r="C149" s="7" t="s">
        <v>57</v>
      </c>
      <c r="D149" s="28" t="s">
        <v>38</v>
      </c>
      <c r="E149" s="48" t="s">
        <v>207</v>
      </c>
      <c r="F149" s="32" t="s">
        <v>265</v>
      </c>
      <c r="G149" s="28" t="s">
        <v>38</v>
      </c>
      <c r="H149" s="28" t="s">
        <v>91</v>
      </c>
      <c r="I149" s="28" t="s">
        <v>91</v>
      </c>
      <c r="J149" s="28" t="s">
        <v>95</v>
      </c>
      <c r="K149" s="28" t="s">
        <v>91</v>
      </c>
      <c r="L149" s="28" t="s">
        <v>91</v>
      </c>
      <c r="M149" s="27">
        <v>0</v>
      </c>
      <c r="N149" s="27">
        <v>1</v>
      </c>
      <c r="O149" s="27">
        <v>1</v>
      </c>
      <c r="P149" s="33" t="str">
        <f xml:space="preserve"> IF(co_impactTypes[[#This Row],[econMultiplierName]]="None", "N/A", 2010)</f>
        <v>N/A</v>
      </c>
    </row>
    <row r="150" spans="2:16" ht="22.5" x14ac:dyDescent="0.2">
      <c r="B150" s="4">
        <f xml:space="preserve"> ROW( co_impactTypes[[#This Row],[row_id]] ) - ROW(co_impactTypes[[#Headers],[row_id]] )</f>
        <v>14</v>
      </c>
      <c r="C150" s="7" t="s">
        <v>271</v>
      </c>
      <c r="D150" s="28" t="s">
        <v>38</v>
      </c>
      <c r="E150" s="48" t="s">
        <v>207</v>
      </c>
      <c r="F150" s="35" t="s">
        <v>250</v>
      </c>
      <c r="G150" s="28" t="s">
        <v>38</v>
      </c>
      <c r="H150" s="28" t="s">
        <v>91</v>
      </c>
      <c r="I150" s="25" t="s">
        <v>91</v>
      </c>
      <c r="J150" s="25" t="s">
        <v>272</v>
      </c>
      <c r="K150" s="28" t="s">
        <v>91</v>
      </c>
      <c r="L150" s="28" t="s">
        <v>91</v>
      </c>
      <c r="M150" s="27">
        <v>0</v>
      </c>
      <c r="N150" s="27">
        <v>1</v>
      </c>
      <c r="O150" s="27">
        <v>1</v>
      </c>
      <c r="P150" s="33" t="str">
        <f xml:space="preserve"> IF(co_impactTypes[[#This Row],[econMultiplierName]]="None", "N/A", 2010)</f>
        <v>N/A</v>
      </c>
    </row>
    <row r="151" spans="2:16" x14ac:dyDescent="0.2">
      <c r="B151" s="4">
        <f xml:space="preserve"> ROW( co_impactTypes[[#This Row],[row_id]] ) - ROW(co_impactTypes[[#Headers],[row_id]] )</f>
        <v>15</v>
      </c>
      <c r="C151" s="7" t="s">
        <v>15</v>
      </c>
      <c r="D151" s="28" t="s">
        <v>40</v>
      </c>
      <c r="E151" s="48" t="s">
        <v>14</v>
      </c>
      <c r="F151" s="32" t="s">
        <v>152</v>
      </c>
      <c r="G151" s="28" t="s">
        <v>285</v>
      </c>
      <c r="H151" s="28" t="s">
        <v>87</v>
      </c>
      <c r="I151" s="28" t="s">
        <v>93</v>
      </c>
      <c r="J151" s="28" t="s">
        <v>91</v>
      </c>
      <c r="K151" s="28" t="s">
        <v>129</v>
      </c>
      <c r="L151" s="28" t="s">
        <v>92</v>
      </c>
      <c r="M151" s="27">
        <v>0</v>
      </c>
      <c r="N151" s="27">
        <v>1</v>
      </c>
      <c r="O151" s="27">
        <v>0.4</v>
      </c>
      <c r="P151" s="33">
        <f xml:space="preserve"> IF(co_impactTypes[[#This Row],[econMultiplierName]]="None", "N/A", 2010)</f>
        <v>2010</v>
      </c>
    </row>
    <row r="152" spans="2:16" x14ac:dyDescent="0.2">
      <c r="B152" s="4">
        <f xml:space="preserve"> ROW( co_impactTypes[[#This Row],[row_id]] ) - ROW(co_impactTypes[[#Headers],[row_id]] )</f>
        <v>16</v>
      </c>
      <c r="C152" s="7" t="s">
        <v>15</v>
      </c>
      <c r="D152" s="28" t="s">
        <v>39</v>
      </c>
      <c r="E152" s="48" t="s">
        <v>13</v>
      </c>
      <c r="F152" s="32" t="s">
        <v>153</v>
      </c>
      <c r="G152" s="28" t="s">
        <v>285</v>
      </c>
      <c r="H152" s="28" t="s">
        <v>87</v>
      </c>
      <c r="I152" s="28" t="s">
        <v>93</v>
      </c>
      <c r="J152" s="28" t="s">
        <v>91</v>
      </c>
      <c r="K152" s="28" t="s">
        <v>129</v>
      </c>
      <c r="L152" s="28" t="s">
        <v>92</v>
      </c>
      <c r="M152" s="27">
        <v>0</v>
      </c>
      <c r="N152" s="27">
        <v>1</v>
      </c>
      <c r="O152" s="27">
        <v>0.4</v>
      </c>
      <c r="P152" s="33">
        <f xml:space="preserve"> IF(co_impactTypes[[#This Row],[econMultiplierName]]="None", "N/A", 2010)</f>
        <v>2010</v>
      </c>
    </row>
    <row r="153" spans="2:16" ht="33.75" x14ac:dyDescent="0.2">
      <c r="B153" s="4">
        <f xml:space="preserve"> ROW( co_impactTypes[[#This Row],[row_id]] ) - ROW(co_impactTypes[[#Headers],[row_id]] )</f>
        <v>17</v>
      </c>
      <c r="C153" s="7" t="s">
        <v>58</v>
      </c>
      <c r="D153" s="28" t="s">
        <v>38</v>
      </c>
      <c r="E153" s="48" t="s">
        <v>207</v>
      </c>
      <c r="F153" s="32" t="s">
        <v>60</v>
      </c>
      <c r="G153" s="28" t="s">
        <v>38</v>
      </c>
      <c r="H153" s="28" t="s">
        <v>91</v>
      </c>
      <c r="I153" s="28" t="s">
        <v>91</v>
      </c>
      <c r="J153" s="28" t="s">
        <v>91</v>
      </c>
      <c r="K153" s="28" t="s">
        <v>91</v>
      </c>
      <c r="L153" s="28" t="s">
        <v>91</v>
      </c>
      <c r="M153" s="27">
        <v>0</v>
      </c>
      <c r="N153" s="27">
        <v>1</v>
      </c>
      <c r="O153" s="27">
        <v>1</v>
      </c>
      <c r="P153" s="33" t="str">
        <f xml:space="preserve"> IF(co_impactTypes[[#This Row],[econMultiplierName]]="None", "N/A", 2010)</f>
        <v>N/A</v>
      </c>
    </row>
    <row r="154" spans="2:16" ht="22.5" x14ac:dyDescent="0.2">
      <c r="B154" s="4">
        <f xml:space="preserve"> ROW( co_impactTypes[[#This Row],[row_id]] ) - ROW(co_impactTypes[[#Headers],[row_id]] )</f>
        <v>18</v>
      </c>
      <c r="C154" s="7" t="s">
        <v>19</v>
      </c>
      <c r="D154" s="28" t="s">
        <v>38</v>
      </c>
      <c r="E154" s="48" t="s">
        <v>207</v>
      </c>
      <c r="F154" s="32" t="s">
        <v>338</v>
      </c>
      <c r="G154" s="28" t="s">
        <v>38</v>
      </c>
      <c r="H154" s="28" t="s">
        <v>91</v>
      </c>
      <c r="I154" s="28" t="s">
        <v>91</v>
      </c>
      <c r="J154" s="28" t="s">
        <v>91</v>
      </c>
      <c r="K154" s="28" t="s">
        <v>91</v>
      </c>
      <c r="L154" s="28" t="s">
        <v>91</v>
      </c>
      <c r="M154" s="27">
        <v>0</v>
      </c>
      <c r="N154" s="27">
        <v>1</v>
      </c>
      <c r="O154" s="27">
        <v>1</v>
      </c>
      <c r="P154" s="33" t="str">
        <f xml:space="preserve"> IF(co_impactTypes[[#This Row],[econMultiplierName]]="None", "N/A", 2010)</f>
        <v>N/A</v>
      </c>
    </row>
    <row r="155" spans="2:16" ht="22.5" x14ac:dyDescent="0.2">
      <c r="B155" s="4">
        <f xml:space="preserve"> ROW( co_impactTypes[[#This Row],[row_id]] ) - ROW(co_impactTypes[[#Headers],[row_id]] )</f>
        <v>19</v>
      </c>
      <c r="C155" s="7" t="s">
        <v>18</v>
      </c>
      <c r="D155" s="28" t="s">
        <v>38</v>
      </c>
      <c r="E155" s="48" t="s">
        <v>207</v>
      </c>
      <c r="F155" s="32" t="s">
        <v>149</v>
      </c>
      <c r="G155" s="28" t="s">
        <v>562</v>
      </c>
      <c r="H155" s="28" t="s">
        <v>103</v>
      </c>
      <c r="I155" s="28" t="s">
        <v>91</v>
      </c>
      <c r="J155" s="28" t="s">
        <v>91</v>
      </c>
      <c r="K155" s="28" t="s">
        <v>279</v>
      </c>
      <c r="L155" s="28" t="s">
        <v>92</v>
      </c>
      <c r="M155" s="27">
        <v>0</v>
      </c>
      <c r="N155" s="27">
        <v>1</v>
      </c>
      <c r="O155" s="27">
        <v>1</v>
      </c>
      <c r="P155" s="33">
        <f xml:space="preserve"> IF(co_impactTypes[[#This Row],[econMultiplierName]]="None", "N/A", 2010)</f>
        <v>2010</v>
      </c>
    </row>
    <row r="156" spans="2:16" x14ac:dyDescent="0.2">
      <c r="B156" s="4">
        <f xml:space="preserve"> ROW( co_impactTypes[[#This Row],[row_id]] ) - ROW(co_impactTypes[[#Headers],[row_id]] )</f>
        <v>20</v>
      </c>
      <c r="C156" s="7" t="s">
        <v>59</v>
      </c>
      <c r="D156" s="28" t="s">
        <v>38</v>
      </c>
      <c r="E156" s="48" t="s">
        <v>207</v>
      </c>
      <c r="F156" s="32" t="s">
        <v>354</v>
      </c>
      <c r="G156" s="28" t="s">
        <v>38</v>
      </c>
      <c r="H156" s="28" t="s">
        <v>91</v>
      </c>
      <c r="I156" s="28" t="s">
        <v>91</v>
      </c>
      <c r="J156" s="28" t="s">
        <v>91</v>
      </c>
      <c r="K156" s="28" t="s">
        <v>91</v>
      </c>
      <c r="L156" s="28" t="s">
        <v>91</v>
      </c>
      <c r="M156" s="27">
        <v>0</v>
      </c>
      <c r="N156" s="27">
        <v>1000000</v>
      </c>
      <c r="O156" s="27">
        <v>1</v>
      </c>
      <c r="P156" s="33" t="str">
        <f xml:space="preserve"> IF(co_impactTypes[[#This Row],[econMultiplierName]]="None", "N/A", 2010)</f>
        <v>N/A</v>
      </c>
    </row>
    <row r="157" spans="2:16" ht="33.75" x14ac:dyDescent="0.2">
      <c r="B157" s="4">
        <f xml:space="preserve"> ROW( co_impactTypes[[#This Row],[row_id]] ) - ROW(co_impactTypes[[#Headers],[row_id]] )</f>
        <v>21</v>
      </c>
      <c r="C157" s="7" t="s">
        <v>626</v>
      </c>
      <c r="D157" s="28" t="s">
        <v>613</v>
      </c>
      <c r="E157" s="48" t="s">
        <v>603</v>
      </c>
      <c r="F157" s="32" t="s">
        <v>611</v>
      </c>
      <c r="G157" s="28" t="s">
        <v>623</v>
      </c>
      <c r="H157" s="28" t="s">
        <v>91</v>
      </c>
      <c r="I157" s="28" t="s">
        <v>91</v>
      </c>
      <c r="J157" s="28" t="s">
        <v>91</v>
      </c>
      <c r="K157" s="28" t="s">
        <v>618</v>
      </c>
      <c r="L157" s="28" t="s">
        <v>91</v>
      </c>
      <c r="M157" s="27">
        <v>0</v>
      </c>
      <c r="N157" s="27">
        <v>1</v>
      </c>
      <c r="O157" s="27">
        <v>1</v>
      </c>
      <c r="P157" s="33" t="str">
        <f xml:space="preserve"> IF(co_impactTypes[[#This Row],[econMultiplierName]]="None", "N/A", 2010)</f>
        <v>N/A</v>
      </c>
    </row>
    <row r="158" spans="2:16" ht="33.75" x14ac:dyDescent="0.2">
      <c r="B158" s="4">
        <f xml:space="preserve"> ROW( co_impactTypes[[#This Row],[row_id]] ) - ROW(co_impactTypes[[#Headers],[row_id]] )</f>
        <v>22</v>
      </c>
      <c r="C158" s="7" t="s">
        <v>626</v>
      </c>
      <c r="D158" s="28" t="s">
        <v>614</v>
      </c>
      <c r="E158" s="48" t="s">
        <v>604</v>
      </c>
      <c r="F158" s="32" t="s">
        <v>612</v>
      </c>
      <c r="G158" s="28" t="s">
        <v>624</v>
      </c>
      <c r="H158" s="28" t="s">
        <v>91</v>
      </c>
      <c r="I158" s="28" t="s">
        <v>91</v>
      </c>
      <c r="J158" s="28" t="s">
        <v>91</v>
      </c>
      <c r="K158" s="28" t="s">
        <v>619</v>
      </c>
      <c r="L158" s="28" t="s">
        <v>91</v>
      </c>
      <c r="M158" s="27">
        <v>0</v>
      </c>
      <c r="N158" s="27">
        <v>1</v>
      </c>
      <c r="O158" s="27">
        <v>1</v>
      </c>
      <c r="P158" s="33" t="str">
        <f xml:space="preserve"> IF(co_impactTypes[[#This Row],[econMultiplierName]]="None", "N/A", 2010)</f>
        <v>N/A</v>
      </c>
    </row>
    <row r="159" spans="2:16" x14ac:dyDescent="0.2">
      <c r="B159" s="4">
        <f xml:space="preserve"> ROW( co_impactTypes[[#This Row],[row_id]] ) - ROW(co_impactTypes[[#Headers],[row_id]] )</f>
        <v>23</v>
      </c>
      <c r="C159" s="7" t="s">
        <v>626</v>
      </c>
      <c r="D159" s="28" t="s">
        <v>615</v>
      </c>
      <c r="E159" s="48" t="s">
        <v>605</v>
      </c>
      <c r="F159" s="32" t="s">
        <v>608</v>
      </c>
      <c r="G159" s="28" t="s">
        <v>622</v>
      </c>
      <c r="H159" s="28" t="s">
        <v>91</v>
      </c>
      <c r="I159" s="28" t="s">
        <v>91</v>
      </c>
      <c r="J159" s="28" t="s">
        <v>91</v>
      </c>
      <c r="K159" s="28" t="s">
        <v>91</v>
      </c>
      <c r="L159" s="28" t="s">
        <v>91</v>
      </c>
      <c r="M159" s="27">
        <v>0</v>
      </c>
      <c r="N159" s="27">
        <v>0</v>
      </c>
      <c r="O159" s="27">
        <v>1</v>
      </c>
      <c r="P159" s="33" t="str">
        <f xml:space="preserve"> IF(co_impactTypes[[#This Row],[econMultiplierName]]="None", "N/A", 2010)</f>
        <v>N/A</v>
      </c>
    </row>
    <row r="160" spans="2:16" ht="18.75" customHeight="1" x14ac:dyDescent="0.2">
      <c r="B160" s="4">
        <f xml:space="preserve"> ROW( co_impactTypes[[#This Row],[row_id]] ) - ROW(co_impactTypes[[#Headers],[row_id]] )</f>
        <v>24</v>
      </c>
      <c r="C160" s="7" t="s">
        <v>626</v>
      </c>
      <c r="D160" s="28" t="s">
        <v>616</v>
      </c>
      <c r="E160" s="48" t="s">
        <v>606</v>
      </c>
      <c r="F160" s="32" t="s">
        <v>609</v>
      </c>
      <c r="G160" s="28" t="s">
        <v>38</v>
      </c>
      <c r="H160" s="28" t="s">
        <v>91</v>
      </c>
      <c r="I160" s="28" t="s">
        <v>91</v>
      </c>
      <c r="J160" s="28" t="s">
        <v>91</v>
      </c>
      <c r="K160" s="28" t="s">
        <v>91</v>
      </c>
      <c r="L160" s="28" t="s">
        <v>91</v>
      </c>
      <c r="M160" s="27">
        <v>0</v>
      </c>
      <c r="N160" s="27">
        <v>1</v>
      </c>
      <c r="O160" s="27">
        <v>1</v>
      </c>
      <c r="P160" s="33" t="str">
        <f xml:space="preserve"> IF(co_impactTypes[[#This Row],[econMultiplierName]]="None", "N/A", 2010)</f>
        <v>N/A</v>
      </c>
    </row>
    <row r="161" spans="2:16" x14ac:dyDescent="0.2">
      <c r="B161" s="4">
        <f xml:space="preserve"> ROW( co_impactTypes[[#This Row],[row_id]] ) - ROW(co_impactTypes[[#Headers],[row_id]] )</f>
        <v>25</v>
      </c>
      <c r="C161" s="7" t="s">
        <v>625</v>
      </c>
      <c r="D161" s="28" t="s">
        <v>617</v>
      </c>
      <c r="E161" s="48" t="s">
        <v>607</v>
      </c>
      <c r="F161" s="32" t="s">
        <v>610</v>
      </c>
      <c r="G161" s="28" t="s">
        <v>38</v>
      </c>
      <c r="H161" s="28" t="s">
        <v>91</v>
      </c>
      <c r="I161" s="28" t="s">
        <v>91</v>
      </c>
      <c r="J161" s="28" t="s">
        <v>91</v>
      </c>
      <c r="K161" s="28" t="s">
        <v>91</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26</v>
      </c>
      <c r="C162" s="7" t="s">
        <v>555</v>
      </c>
      <c r="D162" s="28" t="s">
        <v>38</v>
      </c>
      <c r="E162" s="48" t="s">
        <v>207</v>
      </c>
      <c r="F162" s="32" t="s">
        <v>435</v>
      </c>
      <c r="G162" s="28" t="s">
        <v>285</v>
      </c>
      <c r="H162" s="28" t="s">
        <v>87</v>
      </c>
      <c r="I162" s="28" t="s">
        <v>438</v>
      </c>
      <c r="J162" s="28" t="s">
        <v>436</v>
      </c>
      <c r="K162" s="28" t="s">
        <v>129</v>
      </c>
      <c r="L162" s="28" t="s">
        <v>92</v>
      </c>
      <c r="M162" s="27">
        <v>0</v>
      </c>
      <c r="N162" s="27">
        <v>1</v>
      </c>
      <c r="O162" s="27">
        <v>0.4</v>
      </c>
      <c r="P162" s="33">
        <f xml:space="preserve"> IF(co_impactTypes[[#This Row],[econMultiplierName]]="None", "N/A", 2010)</f>
        <v>2010</v>
      </c>
    </row>
    <row r="163" spans="2:16" x14ac:dyDescent="0.2">
      <c r="B163" s="4">
        <f xml:space="preserve"> ROW( co_impactTypes[[#This Row],[row_id]] ) - ROW(co_impactTypes[[#Headers],[row_id]] )</f>
        <v>27</v>
      </c>
      <c r="C163" s="7" t="s">
        <v>46</v>
      </c>
      <c r="D163" s="28" t="s">
        <v>38</v>
      </c>
      <c r="E163" s="48" t="s">
        <v>207</v>
      </c>
      <c r="F163" s="35" t="s">
        <v>147</v>
      </c>
      <c r="G163" s="28" t="s">
        <v>52</v>
      </c>
      <c r="H163" s="28" t="s">
        <v>72</v>
      </c>
      <c r="I163" s="25" t="s">
        <v>91</v>
      </c>
      <c r="J163" s="25" t="s">
        <v>124</v>
      </c>
      <c r="K163" s="28" t="s">
        <v>91</v>
      </c>
      <c r="L163" s="28" t="s">
        <v>91</v>
      </c>
      <c r="M163" s="27">
        <v>0</v>
      </c>
      <c r="N163" s="27">
        <v>1</v>
      </c>
      <c r="O163" s="27">
        <v>1</v>
      </c>
      <c r="P163" s="33" t="str">
        <f xml:space="preserve"> IF(co_impactTypes[[#This Row],[econMultiplierName]]="None", "N/A", 2010)</f>
        <v>N/A</v>
      </c>
    </row>
    <row r="164" spans="2:16" x14ac:dyDescent="0.2">
      <c r="B164" s="4">
        <f xml:space="preserve"> ROW( co_impactTypes[[#This Row],[row_id]] ) - ROW(co_impactTypes[[#Headers],[row_id]] )</f>
        <v>28</v>
      </c>
      <c r="C164" s="7" t="s">
        <v>53</v>
      </c>
      <c r="D164" s="28" t="s">
        <v>38</v>
      </c>
      <c r="E164" s="48" t="s">
        <v>207</v>
      </c>
      <c r="F164" s="35" t="s">
        <v>150</v>
      </c>
      <c r="G164" s="28" t="s">
        <v>139</v>
      </c>
      <c r="H164" s="28" t="s">
        <v>86</v>
      </c>
      <c r="I164" s="25" t="s">
        <v>91</v>
      </c>
      <c r="J164" s="25" t="s">
        <v>73</v>
      </c>
      <c r="K164" s="28" t="s">
        <v>91</v>
      </c>
      <c r="L164" s="28" t="s">
        <v>91</v>
      </c>
      <c r="M164" s="27">
        <v>0</v>
      </c>
      <c r="N164" s="27">
        <v>1</v>
      </c>
      <c r="O164" s="27">
        <v>1</v>
      </c>
      <c r="P164" s="33" t="str">
        <f xml:space="preserve"> IF(co_impactTypes[[#This Row],[econMultiplierName]]="None", "N/A", 2010)</f>
        <v>N/A</v>
      </c>
    </row>
    <row r="165" spans="2:16" ht="22.5" x14ac:dyDescent="0.2">
      <c r="B165" s="4">
        <f xml:space="preserve"> ROW( co_impactTypes[[#This Row],[row_id]] ) - ROW(co_impactTypes[[#Headers],[row_id]] )</f>
        <v>29</v>
      </c>
      <c r="C165" s="7" t="s">
        <v>20</v>
      </c>
      <c r="D165" s="28" t="s">
        <v>251</v>
      </c>
      <c r="E165" s="48" t="s">
        <v>32</v>
      </c>
      <c r="F165" s="32" t="s">
        <v>51</v>
      </c>
      <c r="G165" s="28" t="s">
        <v>563</v>
      </c>
      <c r="H165" s="28" t="s">
        <v>87</v>
      </c>
      <c r="I165" s="28" t="s">
        <v>573</v>
      </c>
      <c r="J165" s="28" t="s">
        <v>91</v>
      </c>
      <c r="K165" s="28" t="s">
        <v>131</v>
      </c>
      <c r="L165" s="28" t="s">
        <v>91</v>
      </c>
      <c r="M165" s="27">
        <v>0</v>
      </c>
      <c r="N165" s="27">
        <v>1</v>
      </c>
      <c r="O165" s="27">
        <v>1</v>
      </c>
      <c r="P165" s="33" t="str">
        <f xml:space="preserve"> IF(co_impactTypes[[#This Row],[econMultiplierName]]="None", "N/A", 2010)</f>
        <v>N/A</v>
      </c>
    </row>
    <row r="166" spans="2:16" ht="22.5" x14ac:dyDescent="0.2">
      <c r="B166" s="4">
        <f xml:space="preserve"> ROW( co_impactTypes[[#This Row],[row_id]] ) - ROW(co_impactTypes[[#Headers],[row_id]] )</f>
        <v>30</v>
      </c>
      <c r="C166" s="7" t="s">
        <v>20</v>
      </c>
      <c r="D166" s="28" t="s">
        <v>54</v>
      </c>
      <c r="E166" s="48" t="s">
        <v>31</v>
      </c>
      <c r="F166" s="32" t="s">
        <v>50</v>
      </c>
      <c r="G166" s="28" t="s">
        <v>563</v>
      </c>
      <c r="H166" s="28" t="s">
        <v>87</v>
      </c>
      <c r="I166" s="28" t="s">
        <v>573</v>
      </c>
      <c r="J166" s="28" t="s">
        <v>91</v>
      </c>
      <c r="K166" s="28" t="s">
        <v>131</v>
      </c>
      <c r="L166" s="28" t="s">
        <v>91</v>
      </c>
      <c r="M166" s="27">
        <v>0</v>
      </c>
      <c r="N166" s="27">
        <v>1</v>
      </c>
      <c r="O166" s="27">
        <v>1</v>
      </c>
      <c r="P166" s="33" t="str">
        <f xml:space="preserve"> IF(co_impactTypes[[#This Row],[econMultiplierName]]="None", "N/A", 2010)</f>
        <v>N/A</v>
      </c>
    </row>
    <row r="167" spans="2:16" x14ac:dyDescent="0.2">
      <c r="B167" s="4">
        <f xml:space="preserve"> ROW( co_impactTypes[[#This Row],[row_id]] ) - ROW(co_impactTypes[[#Headers],[row_id]] )</f>
        <v>31</v>
      </c>
      <c r="C167" s="7" t="s">
        <v>20</v>
      </c>
      <c r="D167" s="28" t="s">
        <v>41</v>
      </c>
      <c r="E167" s="48" t="s">
        <v>28</v>
      </c>
      <c r="F167" s="32" t="s">
        <v>41</v>
      </c>
      <c r="G167" s="28" t="s">
        <v>285</v>
      </c>
      <c r="H167" s="28" t="s">
        <v>87</v>
      </c>
      <c r="I167" s="28" t="s">
        <v>574</v>
      </c>
      <c r="J167" s="28" t="s">
        <v>91</v>
      </c>
      <c r="K167" s="28" t="s">
        <v>129</v>
      </c>
      <c r="L167" s="28" t="s">
        <v>92</v>
      </c>
      <c r="M167" s="27">
        <v>0</v>
      </c>
      <c r="N167" s="27">
        <v>1</v>
      </c>
      <c r="O167" s="27">
        <v>0.4</v>
      </c>
      <c r="P167" s="33">
        <f xml:space="preserve"> IF(co_impactTypes[[#This Row],[econMultiplierName]]="None", "N/A", 2010)</f>
        <v>2010</v>
      </c>
    </row>
    <row r="168" spans="2:16" x14ac:dyDescent="0.2">
      <c r="B168" s="4">
        <f xml:space="preserve"> ROW( co_impactTypes[[#This Row],[row_id]] ) - ROW(co_impactTypes[[#Headers],[row_id]] )</f>
        <v>32</v>
      </c>
      <c r="C168" s="7" t="s">
        <v>20</v>
      </c>
      <c r="D168" s="28" t="s">
        <v>42</v>
      </c>
      <c r="E168" s="48" t="s">
        <v>30</v>
      </c>
      <c r="F168" s="32" t="s">
        <v>49</v>
      </c>
      <c r="G168" s="28" t="s">
        <v>563</v>
      </c>
      <c r="H168" s="28" t="s">
        <v>87</v>
      </c>
      <c r="I168" s="28" t="s">
        <v>573</v>
      </c>
      <c r="J168" s="28" t="s">
        <v>91</v>
      </c>
      <c r="K168" s="28" t="s">
        <v>132</v>
      </c>
      <c r="L168" s="28" t="s">
        <v>91</v>
      </c>
      <c r="M168" s="27">
        <v>0</v>
      </c>
      <c r="N168" s="27">
        <v>1</v>
      </c>
      <c r="O168" s="27">
        <v>1</v>
      </c>
      <c r="P168" s="33" t="str">
        <f xml:space="preserve"> IF(co_impactTypes[[#This Row],[econMultiplierName]]="None", "N/A", 2010)</f>
        <v>N/A</v>
      </c>
    </row>
    <row r="169" spans="2:16" x14ac:dyDescent="0.2">
      <c r="B169" s="4">
        <f xml:space="preserve"> ROW( co_impactTypes[[#This Row],[row_id]] ) - ROW(co_impactTypes[[#Headers],[row_id]] )</f>
        <v>33</v>
      </c>
      <c r="C169" s="7" t="s">
        <v>20</v>
      </c>
      <c r="D169" s="28" t="s">
        <v>85</v>
      </c>
      <c r="E169" s="48" t="s">
        <v>29</v>
      </c>
      <c r="F169" s="32" t="s">
        <v>151</v>
      </c>
      <c r="G169" s="28" t="s">
        <v>564</v>
      </c>
      <c r="H169" s="28" t="s">
        <v>87</v>
      </c>
      <c r="I169" s="28" t="s">
        <v>91</v>
      </c>
      <c r="J169" s="28" t="s">
        <v>91</v>
      </c>
      <c r="K169" s="28" t="s">
        <v>154</v>
      </c>
      <c r="L169" s="28" t="s">
        <v>91</v>
      </c>
      <c r="M169" s="27">
        <v>0</v>
      </c>
      <c r="N169" s="27">
        <v>1</v>
      </c>
      <c r="O169" s="27">
        <v>1</v>
      </c>
      <c r="P169" s="33" t="str">
        <f xml:space="preserve"> IF(co_impactTypes[[#This Row],[econMultiplierName]]="None", "N/A", 2010)</f>
        <v>N/A</v>
      </c>
    </row>
    <row r="170" spans="2:16" ht="33.75" x14ac:dyDescent="0.2">
      <c r="B170" s="4">
        <f xml:space="preserve"> ROW( co_impactTypes[[#This Row],[row_id]] ) - ROW(co_impactTypes[[#Headers],[row_id]] )</f>
        <v>34</v>
      </c>
      <c r="C170" s="7" t="s">
        <v>61</v>
      </c>
      <c r="D170" s="28" t="s">
        <v>38</v>
      </c>
      <c r="E170" s="48" t="s">
        <v>207</v>
      </c>
      <c r="F170" s="32" t="s">
        <v>264</v>
      </c>
      <c r="G170" s="28" t="s">
        <v>38</v>
      </c>
      <c r="H170" s="28" t="s">
        <v>91</v>
      </c>
      <c r="I170" s="28" t="s">
        <v>91</v>
      </c>
      <c r="J170" s="28" t="s">
        <v>91</v>
      </c>
      <c r="K170" s="28" t="s">
        <v>91</v>
      </c>
      <c r="L170" s="28" t="s">
        <v>91</v>
      </c>
      <c r="M170" s="27">
        <v>0</v>
      </c>
      <c r="N170" s="27">
        <f>10^6</f>
        <v>1000000</v>
      </c>
      <c r="O170" s="27">
        <v>1</v>
      </c>
      <c r="P170" s="33" t="str">
        <f xml:space="preserve"> IF(co_impactTypes[[#This Row],[econMultiplierName]]="None", "N/A", 2010)</f>
        <v>N/A</v>
      </c>
    </row>
    <row r="171" spans="2:16" x14ac:dyDescent="0.2">
      <c r="B171" s="4">
        <f xml:space="preserve"> ROW( co_impactTypes[[#This Row],[row_id]] ) - ROW(co_impactTypes[[#Headers],[row_id]] )</f>
        <v>35</v>
      </c>
      <c r="C171" s="7" t="s">
        <v>252</v>
      </c>
      <c r="D171" s="28" t="s">
        <v>263</v>
      </c>
      <c r="E171" s="48" t="s">
        <v>146</v>
      </c>
      <c r="F171" s="32" t="s">
        <v>263</v>
      </c>
      <c r="G171" s="28" t="s">
        <v>565</v>
      </c>
      <c r="H171" s="28" t="s">
        <v>87</v>
      </c>
      <c r="I171" s="28" t="s">
        <v>258</v>
      </c>
      <c r="J171" s="28" t="s">
        <v>91</v>
      </c>
      <c r="K171" s="28" t="s">
        <v>259</v>
      </c>
      <c r="L171" s="28" t="s">
        <v>92</v>
      </c>
      <c r="M171" s="27">
        <v>0</v>
      </c>
      <c r="N171" s="27">
        <v>1</v>
      </c>
      <c r="O171" s="27">
        <v>1</v>
      </c>
      <c r="P171" s="33">
        <f xml:space="preserve"> IF(co_impactTypes[[#This Row],[econMultiplierName]]="None", "N/A", 2010)</f>
        <v>2010</v>
      </c>
    </row>
    <row r="172" spans="2:16" x14ac:dyDescent="0.2">
      <c r="B172" s="4">
        <f xml:space="preserve"> ROW( co_impactTypes[[#This Row],[row_id]] ) - ROW(co_impactTypes[[#Headers],[row_id]] )</f>
        <v>36</v>
      </c>
      <c r="C172" s="7" t="s">
        <v>252</v>
      </c>
      <c r="D172" s="28" t="s">
        <v>112</v>
      </c>
      <c r="E172" s="69" t="s">
        <v>112</v>
      </c>
      <c r="F172" s="32" t="s">
        <v>112</v>
      </c>
      <c r="G172" s="28" t="s">
        <v>566</v>
      </c>
      <c r="H172" s="28" t="s">
        <v>87</v>
      </c>
      <c r="I172" s="28" t="s">
        <v>280</v>
      </c>
      <c r="J172" s="28" t="s">
        <v>91</v>
      </c>
      <c r="K172" s="28" t="s">
        <v>260</v>
      </c>
      <c r="L172" s="28" t="s">
        <v>91</v>
      </c>
      <c r="M172" s="27">
        <v>0</v>
      </c>
      <c r="N172" s="27">
        <v>1</v>
      </c>
      <c r="O172" s="27">
        <v>1</v>
      </c>
      <c r="P172" s="33" t="str">
        <f xml:space="preserve"> IF(co_impactTypes[[#This Row],[econMultiplierName]]="None", "N/A", 2010)</f>
        <v>N/A</v>
      </c>
    </row>
    <row r="173" spans="2:16" x14ac:dyDescent="0.2">
      <c r="B173" s="4">
        <f xml:space="preserve"> ROW( co_impactTypes[[#This Row],[row_id]] ) - ROW(co_impactTypes[[#Headers],[row_id]] )</f>
        <v>37</v>
      </c>
      <c r="C173" s="7" t="s">
        <v>252</v>
      </c>
      <c r="D173" s="28" t="s">
        <v>111</v>
      </c>
      <c r="E173" s="69" t="s">
        <v>111</v>
      </c>
      <c r="F173" s="32" t="s">
        <v>111</v>
      </c>
      <c r="G173" s="28" t="s">
        <v>285</v>
      </c>
      <c r="H173" s="28" t="s">
        <v>87</v>
      </c>
      <c r="I173" s="28" t="s">
        <v>257</v>
      </c>
      <c r="J173" s="28" t="s">
        <v>91</v>
      </c>
      <c r="K173" s="28" t="s">
        <v>129</v>
      </c>
      <c r="L173" s="28" t="s">
        <v>92</v>
      </c>
      <c r="M173" s="27">
        <v>0</v>
      </c>
      <c r="N173" s="27">
        <v>1</v>
      </c>
      <c r="O173" s="27">
        <v>0.4</v>
      </c>
      <c r="P173" s="33">
        <f xml:space="preserve"> IF(co_impactTypes[[#This Row],[econMultiplierName]]="None", "N/A", 2010)</f>
        <v>2010</v>
      </c>
    </row>
    <row r="174" spans="2:16" x14ac:dyDescent="0.2">
      <c r="B174" s="4">
        <f xml:space="preserve"> ROW( co_impactTypes[[#This Row],[row_id]] ) - ROW(co_impactTypes[[#Headers],[row_id]] )</f>
        <v>38</v>
      </c>
      <c r="C174" s="7" t="s">
        <v>430</v>
      </c>
      <c r="D174" s="28" t="s">
        <v>431</v>
      </c>
      <c r="E174" s="48" t="s">
        <v>433</v>
      </c>
      <c r="F174" s="32" t="s">
        <v>431</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x14ac:dyDescent="0.2">
      <c r="B175" s="4">
        <f xml:space="preserve"> ROW( co_impactTypes[[#This Row],[row_id]] ) - ROW(co_impactTypes[[#Headers],[row_id]] )</f>
        <v>39</v>
      </c>
      <c r="C175" s="7" t="s">
        <v>430</v>
      </c>
      <c r="D175" s="28" t="s">
        <v>432</v>
      </c>
      <c r="E175" s="48" t="s">
        <v>434</v>
      </c>
      <c r="F175" s="32" t="s">
        <v>432</v>
      </c>
      <c r="G175" s="28" t="s">
        <v>565</v>
      </c>
      <c r="H175" s="28" t="s">
        <v>91</v>
      </c>
      <c r="I175" s="28" t="s">
        <v>91</v>
      </c>
      <c r="J175" s="28" t="s">
        <v>91</v>
      </c>
      <c r="K175" s="28" t="s">
        <v>259</v>
      </c>
      <c r="L175" s="28" t="s">
        <v>92</v>
      </c>
      <c r="M175" s="27">
        <v>0</v>
      </c>
      <c r="N175" s="27">
        <v>1</v>
      </c>
      <c r="O175" s="27">
        <v>1</v>
      </c>
      <c r="P175" s="33">
        <f xml:space="preserve"> IF(co_impactTypes[[#This Row],[econMultiplierName]]="None", "N/A", 2010)</f>
        <v>2010</v>
      </c>
    </row>
    <row r="176" spans="2:16" x14ac:dyDescent="0.2">
      <c r="B176" s="4">
        <f xml:space="preserve"> ROW( co_impactTypes[[#This Row],[row_id]] ) - ROW(co_impactTypes[[#Headers],[row_id]] )</f>
        <v>40</v>
      </c>
      <c r="C176" s="7" t="s">
        <v>430</v>
      </c>
      <c r="D176" s="28" t="s">
        <v>111</v>
      </c>
      <c r="E176" s="48" t="s">
        <v>111</v>
      </c>
      <c r="F176" s="32" t="s">
        <v>111</v>
      </c>
      <c r="G176" s="28" t="s">
        <v>285</v>
      </c>
      <c r="H176" s="28" t="s">
        <v>91</v>
      </c>
      <c r="I176" s="28" t="s">
        <v>91</v>
      </c>
      <c r="J176" s="28" t="s">
        <v>91</v>
      </c>
      <c r="K176" s="28" t="s">
        <v>129</v>
      </c>
      <c r="L176" s="28" t="s">
        <v>92</v>
      </c>
      <c r="M176" s="27">
        <v>0</v>
      </c>
      <c r="N176" s="27">
        <v>1</v>
      </c>
      <c r="O176" s="27">
        <v>0.4</v>
      </c>
      <c r="P176" s="33">
        <f xml:space="preserve"> IF(co_impactTypes[[#This Row],[econMultiplierName]]="None", "N/A", 2010)</f>
        <v>2010</v>
      </c>
    </row>
    <row r="177" spans="1:21" x14ac:dyDescent="0.2">
      <c r="B177" s="4">
        <f xml:space="preserve"> ROW( co_impactTypes[[#This Row],[row_id]] ) - ROW(co_impactTypes[[#Headers],[row_id]] )</f>
        <v>41</v>
      </c>
      <c r="C177" s="7" t="s">
        <v>63</v>
      </c>
      <c r="D177" s="28" t="s">
        <v>38</v>
      </c>
      <c r="E177" s="48" t="s">
        <v>207</v>
      </c>
      <c r="F177" s="32" t="s">
        <v>148</v>
      </c>
      <c r="G177" s="28" t="s">
        <v>38</v>
      </c>
      <c r="H177" s="28" t="s">
        <v>87</v>
      </c>
      <c r="I177" s="28" t="s">
        <v>91</v>
      </c>
      <c r="J177" s="28" t="s">
        <v>91</v>
      </c>
      <c r="K177" s="28" t="s">
        <v>91</v>
      </c>
      <c r="L177" s="28" t="s">
        <v>91</v>
      </c>
      <c r="M177" s="27">
        <v>0</v>
      </c>
      <c r="N177" s="27">
        <v>1</v>
      </c>
      <c r="O177" s="27">
        <v>1</v>
      </c>
      <c r="P177" s="33" t="str">
        <f xml:space="preserve"> IF(co_impactTypes[[#This Row],[econMultiplierName]]="None", "N/A", 2010)</f>
        <v>N/A</v>
      </c>
    </row>
    <row r="178" spans="1:21" x14ac:dyDescent="0.2">
      <c r="B178" s="4">
        <f xml:space="preserve"> ROW( co_impactTypes[[#This Row],[row_id]] ) - ROW(co_impactTypes[[#Headers],[row_id]] )</f>
        <v>42</v>
      </c>
      <c r="C178" s="7" t="s">
        <v>105</v>
      </c>
      <c r="D178" s="28" t="s">
        <v>112</v>
      </c>
      <c r="E178" s="48" t="s">
        <v>112</v>
      </c>
      <c r="F178" s="32" t="s">
        <v>112</v>
      </c>
      <c r="G178" s="28" t="s">
        <v>566</v>
      </c>
      <c r="H178" s="28" t="s">
        <v>87</v>
      </c>
      <c r="I178" s="28" t="s">
        <v>91</v>
      </c>
      <c r="J178" s="28" t="s">
        <v>91</v>
      </c>
      <c r="K178" s="28" t="s">
        <v>91</v>
      </c>
      <c r="L178" s="28" t="s">
        <v>91</v>
      </c>
      <c r="M178" s="27">
        <v>0</v>
      </c>
      <c r="N178" s="27">
        <v>1</v>
      </c>
      <c r="O178" s="27">
        <v>1</v>
      </c>
      <c r="P178" s="33" t="str">
        <f xml:space="preserve"> IF(co_impactTypes[[#This Row],[econMultiplierName]]="None", "N/A", 2010)</f>
        <v>N/A</v>
      </c>
    </row>
    <row r="179" spans="1:21" x14ac:dyDescent="0.2">
      <c r="B179" s="4">
        <f xml:space="preserve"> ROW( co_impactTypes[[#This Row],[row_id]] ) - ROW(co_impactTypes[[#Headers],[row_id]] )</f>
        <v>43</v>
      </c>
      <c r="C179" s="7" t="s">
        <v>105</v>
      </c>
      <c r="D179" s="28" t="s">
        <v>111</v>
      </c>
      <c r="E179" s="48" t="s">
        <v>111</v>
      </c>
      <c r="F179" s="32" t="s">
        <v>111</v>
      </c>
      <c r="G179" s="28" t="s">
        <v>285</v>
      </c>
      <c r="H179" s="28" t="s">
        <v>87</v>
      </c>
      <c r="I179" s="28" t="s">
        <v>91</v>
      </c>
      <c r="J179" s="28" t="s">
        <v>91</v>
      </c>
      <c r="K179" s="28" t="s">
        <v>129</v>
      </c>
      <c r="L179" s="28" t="s">
        <v>92</v>
      </c>
      <c r="M179" s="27">
        <v>0</v>
      </c>
      <c r="N179" s="27">
        <v>1</v>
      </c>
      <c r="O179" s="27">
        <v>0.4</v>
      </c>
      <c r="P179" s="33">
        <f xml:space="preserve"> IF(co_impactTypes[[#This Row],[econMultiplierName]]="None", "N/A", 2010)</f>
        <v>2010</v>
      </c>
    </row>
    <row r="180" spans="1:21" x14ac:dyDescent="0.2">
      <c r="B180" s="4">
        <f xml:space="preserve"> ROW( co_impactTypes[[#This Row],[row_id]] ) - ROW(co_impactTypes[[#Headers],[row_id]] )</f>
        <v>44</v>
      </c>
      <c r="C180" s="7" t="s">
        <v>105</v>
      </c>
      <c r="D180" s="28" t="s">
        <v>144</v>
      </c>
      <c r="E180" s="48" t="s">
        <v>115</v>
      </c>
      <c r="F180" s="32" t="s">
        <v>144</v>
      </c>
      <c r="G180" s="28" t="s">
        <v>286</v>
      </c>
      <c r="H180" s="28" t="s">
        <v>91</v>
      </c>
      <c r="I180" s="28" t="s">
        <v>91</v>
      </c>
      <c r="J180" s="28" t="s">
        <v>91</v>
      </c>
      <c r="K180" s="28" t="s">
        <v>114</v>
      </c>
      <c r="L180" s="28" t="s">
        <v>91</v>
      </c>
      <c r="M180" s="27">
        <v>0</v>
      </c>
      <c r="N180" s="27">
        <v>1</v>
      </c>
      <c r="O180" s="27">
        <v>1</v>
      </c>
      <c r="P180" s="33" t="str">
        <f xml:space="preserve"> IF(co_impactTypes[[#This Row],[econMultiplierName]]="None", "N/A", 2010)</f>
        <v>N/A</v>
      </c>
    </row>
    <row r="181" spans="1:21" x14ac:dyDescent="0.2">
      <c r="B181" s="4">
        <f xml:space="preserve"> ROW( co_impactTypes[[#This Row],[row_id]] ) - ROW(co_impactTypes[[#Headers],[row_id]] )</f>
        <v>45</v>
      </c>
      <c r="C181" s="7" t="s">
        <v>340</v>
      </c>
      <c r="D181" s="28" t="s">
        <v>38</v>
      </c>
      <c r="E181" s="48" t="s">
        <v>207</v>
      </c>
      <c r="F181" s="32" t="s">
        <v>343</v>
      </c>
      <c r="G181" s="28" t="s">
        <v>38</v>
      </c>
      <c r="H181" s="28" t="s">
        <v>91</v>
      </c>
      <c r="I181" s="28" t="s">
        <v>91</v>
      </c>
      <c r="J181" s="28" t="s">
        <v>91</v>
      </c>
      <c r="K181" s="28" t="s">
        <v>91</v>
      </c>
      <c r="L181" s="28" t="s">
        <v>91</v>
      </c>
      <c r="M181" s="27">
        <v>0</v>
      </c>
      <c r="N181" s="27">
        <v>1</v>
      </c>
      <c r="O181" s="27">
        <v>1</v>
      </c>
      <c r="P181" s="33" t="str">
        <f xml:space="preserve"> IF(co_impactTypes[[#This Row],[econMultiplierName]]="None", "N/A", 2010)</f>
        <v>N/A</v>
      </c>
    </row>
    <row r="182" spans="1:21" ht="22.5" x14ac:dyDescent="0.2">
      <c r="B182" s="4">
        <f xml:space="preserve"> ROW( co_impactTypes[[#This Row],[row_id]] ) - ROW(co_impactTypes[[#Headers],[row_id]] )</f>
        <v>46</v>
      </c>
      <c r="C182" s="7" t="s">
        <v>24</v>
      </c>
      <c r="D182" s="28" t="s">
        <v>43</v>
      </c>
      <c r="E182" s="48" t="s">
        <v>25</v>
      </c>
      <c r="F182" s="32" t="s">
        <v>266</v>
      </c>
      <c r="G182" s="28" t="s">
        <v>38</v>
      </c>
      <c r="H182" s="28" t="s">
        <v>87</v>
      </c>
      <c r="I182" s="28" t="s">
        <v>91</v>
      </c>
      <c r="J182" s="28" t="s">
        <v>91</v>
      </c>
      <c r="K182" s="28" t="s">
        <v>91</v>
      </c>
      <c r="L182" s="28" t="s">
        <v>91</v>
      </c>
      <c r="M182" s="27">
        <v>0</v>
      </c>
      <c r="N182" s="27">
        <v>1</v>
      </c>
      <c r="O182" s="27">
        <v>1</v>
      </c>
      <c r="P182" s="33" t="str">
        <f xml:space="preserve"> IF(co_impactTypes[[#This Row],[econMultiplierName]]="None", "N/A", 2010)</f>
        <v>N/A</v>
      </c>
    </row>
    <row r="183" spans="1:21" ht="22.5" x14ac:dyDescent="0.2">
      <c r="B183" s="4">
        <f xml:space="preserve"> ROW( co_impactTypes[[#This Row],[row_id]] ) - ROW(co_impactTypes[[#Headers],[row_id]] )</f>
        <v>47</v>
      </c>
      <c r="C183" s="7" t="s">
        <v>24</v>
      </c>
      <c r="D183" s="28" t="s">
        <v>44</v>
      </c>
      <c r="E183" s="48" t="s">
        <v>26</v>
      </c>
      <c r="F183" s="32" t="s">
        <v>267</v>
      </c>
      <c r="G183" s="28" t="s">
        <v>38</v>
      </c>
      <c r="H183" s="28" t="s">
        <v>87</v>
      </c>
      <c r="I183" s="28" t="s">
        <v>91</v>
      </c>
      <c r="J183" s="28" t="s">
        <v>91</v>
      </c>
      <c r="K183" s="28" t="s">
        <v>91</v>
      </c>
      <c r="L183" s="28" t="s">
        <v>91</v>
      </c>
      <c r="M183" s="27">
        <v>0</v>
      </c>
      <c r="N183" s="27">
        <v>1</v>
      </c>
      <c r="O183" s="27">
        <v>1</v>
      </c>
      <c r="P183" s="33" t="str">
        <f xml:space="preserve"> IF(co_impactTypes[[#This Row],[econMultiplierName]]="None", "N/A", 2010)</f>
        <v>N/A</v>
      </c>
    </row>
    <row r="184" spans="1:21" ht="22.5" x14ac:dyDescent="0.2">
      <c r="B184" s="4">
        <f xml:space="preserve"> ROW( co_impactTypes[[#This Row],[row_id]] ) - ROW(co_impactTypes[[#Headers],[row_id]] )</f>
        <v>48</v>
      </c>
      <c r="C184" s="7" t="s">
        <v>24</v>
      </c>
      <c r="D184" s="28" t="s">
        <v>27</v>
      </c>
      <c r="E184" s="48" t="s">
        <v>27</v>
      </c>
      <c r="F184" s="32" t="s">
        <v>268</v>
      </c>
      <c r="G184" s="28" t="s">
        <v>38</v>
      </c>
      <c r="H184" s="28" t="s">
        <v>87</v>
      </c>
      <c r="I184" s="28" t="s">
        <v>91</v>
      </c>
      <c r="J184" s="28" t="s">
        <v>91</v>
      </c>
      <c r="K184" s="28" t="s">
        <v>91</v>
      </c>
      <c r="L184" s="28" t="s">
        <v>91</v>
      </c>
      <c r="M184" s="27">
        <v>0</v>
      </c>
      <c r="N184" s="27">
        <v>1</v>
      </c>
      <c r="O184" s="27">
        <v>1</v>
      </c>
      <c r="P184" s="33" t="str">
        <f xml:space="preserve"> IF(co_impactTypes[[#This Row],[econMultiplierName]]="None", "N/A", 2010)</f>
        <v>N/A</v>
      </c>
    </row>
    <row r="187" spans="1:21" ht="15" x14ac:dyDescent="0.25">
      <c r="A187" s="16"/>
      <c r="B187" s="17" t="s">
        <v>352</v>
      </c>
      <c r="C187" s="17"/>
      <c r="D187" s="17"/>
      <c r="E187" s="17"/>
      <c r="F187" s="17"/>
      <c r="G187" s="17"/>
      <c r="H187" s="17"/>
      <c r="I187" s="17"/>
      <c r="J187" s="17"/>
      <c r="K187" s="17"/>
      <c r="L187" s="17"/>
      <c r="M187" s="17"/>
      <c r="N187" s="17"/>
      <c r="O187" s="17"/>
      <c r="P187" s="17"/>
      <c r="Q187" s="17"/>
      <c r="R187" s="17"/>
      <c r="S187" s="17"/>
      <c r="T187" s="17"/>
      <c r="U187" s="17"/>
    </row>
    <row r="189" spans="1:21" ht="15" x14ac:dyDescent="0.25">
      <c r="B189" s="29" t="s">
        <v>123</v>
      </c>
      <c r="C189" s="29" t="s">
        <v>89</v>
      </c>
      <c r="D189" s="29" t="s">
        <v>88</v>
      </c>
      <c r="E189" s="31" t="s">
        <v>155</v>
      </c>
      <c r="F189" s="31" t="s">
        <v>180</v>
      </c>
      <c r="G189" s="31" t="s">
        <v>181</v>
      </c>
      <c r="H189" s="31" t="s">
        <v>159</v>
      </c>
      <c r="I189" s="31" t="s">
        <v>190</v>
      </c>
      <c r="J189" s="29" t="s">
        <v>172</v>
      </c>
      <c r="Q189" s="5"/>
      <c r="R189" s="5"/>
      <c r="S189" s="5"/>
    </row>
    <row r="190" spans="1:21" ht="22.5" x14ac:dyDescent="0.25">
      <c r="B190" s="6">
        <f xml:space="preserve"> ROW( co_scalarInfo[[#This Row],[row_id]] ) - ROW( co_scalarInfo[[#Headers],[row_id]] )</f>
        <v>1</v>
      </c>
      <c r="C190" s="26" t="s">
        <v>95</v>
      </c>
      <c r="D190" s="26" t="s">
        <v>94</v>
      </c>
      <c r="E190" s="81" t="s">
        <v>157</v>
      </c>
      <c r="F190" s="81" t="s">
        <v>184</v>
      </c>
      <c r="G190" s="81" t="s">
        <v>183</v>
      </c>
      <c r="H190" s="81">
        <v>2015</v>
      </c>
      <c r="I190" s="49" t="s">
        <v>191</v>
      </c>
      <c r="J190" s="66"/>
      <c r="Q190"/>
      <c r="R190"/>
      <c r="S190"/>
    </row>
    <row r="191" spans="1:21" ht="33.75" x14ac:dyDescent="0.25">
      <c r="B191" s="6">
        <f xml:space="preserve"> ROW( co_scalarInfo[[#This Row],[row_id]] ) - ROW( co_scalarInfo[[#Headers],[row_id]] )</f>
        <v>2</v>
      </c>
      <c r="C191" s="32" t="s">
        <v>272</v>
      </c>
      <c r="D191" s="26" t="s">
        <v>140</v>
      </c>
      <c r="E191" s="81" t="s">
        <v>157</v>
      </c>
      <c r="F191" s="81" t="s">
        <v>184</v>
      </c>
      <c r="G191" s="81" t="s">
        <v>183</v>
      </c>
      <c r="H191" s="82" t="s">
        <v>225</v>
      </c>
      <c r="I191" s="49" t="s">
        <v>191</v>
      </c>
      <c r="J191" s="66"/>
      <c r="Q191"/>
      <c r="R191"/>
      <c r="S191"/>
    </row>
    <row r="192" spans="1:21" ht="15" x14ac:dyDescent="0.25">
      <c r="B192" s="6">
        <f xml:space="preserve"> ROW( co_scalarInfo[[#This Row],[row_id]] ) - ROW( co_scalarInfo[[#Headers],[row_id]] )</f>
        <v>3</v>
      </c>
      <c r="C192" s="32" t="s">
        <v>91</v>
      </c>
      <c r="D192" s="26" t="s">
        <v>196</v>
      </c>
      <c r="E192" s="81" t="s">
        <v>157</v>
      </c>
      <c r="F192" s="81" t="s">
        <v>128</v>
      </c>
      <c r="G192" s="81" t="s">
        <v>182</v>
      </c>
      <c r="H192" s="81" t="s">
        <v>38</v>
      </c>
      <c r="I192" s="49" t="s">
        <v>193</v>
      </c>
      <c r="J192" s="66" t="s">
        <v>197</v>
      </c>
      <c r="Q192"/>
      <c r="R192"/>
      <c r="S192"/>
    </row>
    <row r="193" spans="2:19" ht="15" x14ac:dyDescent="0.25">
      <c r="B193" s="6">
        <f xml:space="preserve"> ROW( co_scalarInfo[[#This Row],[row_id]] ) - ROW( co_scalarInfo[[#Headers],[row_id]] )</f>
        <v>4</v>
      </c>
      <c r="C193" s="32" t="s">
        <v>124</v>
      </c>
      <c r="D193" s="26" t="s">
        <v>141</v>
      </c>
      <c r="E193" s="81" t="s">
        <v>157</v>
      </c>
      <c r="F193" s="81" t="s">
        <v>184</v>
      </c>
      <c r="G193" s="81" t="s">
        <v>182</v>
      </c>
      <c r="H193" s="82" t="s">
        <v>225</v>
      </c>
      <c r="I193" s="49" t="s">
        <v>191</v>
      </c>
      <c r="J193" s="66"/>
      <c r="Q193"/>
      <c r="R193"/>
      <c r="S193"/>
    </row>
    <row r="194" spans="2:19" ht="33.75" x14ac:dyDescent="0.25">
      <c r="B194" s="6">
        <f xml:space="preserve"> ROW( co_scalarInfo[[#This Row],[row_id]] ) - ROW( co_scalarInfo[[#Headers],[row_id]] )</f>
        <v>5</v>
      </c>
      <c r="C194" s="32" t="s">
        <v>567</v>
      </c>
      <c r="D194" s="26" t="s">
        <v>568</v>
      </c>
      <c r="E194" s="81" t="s">
        <v>157</v>
      </c>
      <c r="F194" s="81" t="s">
        <v>184</v>
      </c>
      <c r="G194" s="81" t="s">
        <v>183</v>
      </c>
      <c r="H194" s="82" t="s">
        <v>225</v>
      </c>
      <c r="I194" s="49" t="s">
        <v>191</v>
      </c>
      <c r="J194" s="66" t="s">
        <v>593</v>
      </c>
      <c r="Q194"/>
      <c r="R194"/>
      <c r="S194"/>
    </row>
    <row r="195" spans="2:19" ht="33.75" x14ac:dyDescent="0.25">
      <c r="B195" s="6">
        <f xml:space="preserve"> ROW( co_scalarInfo[[#This Row],[row_id]] ) - ROW( co_scalarInfo[[#Headers],[row_id]] )</f>
        <v>6</v>
      </c>
      <c r="C195" s="32" t="s">
        <v>569</v>
      </c>
      <c r="D195" s="26" t="s">
        <v>570</v>
      </c>
      <c r="E195" s="81" t="s">
        <v>157</v>
      </c>
      <c r="F195" s="81" t="s">
        <v>184</v>
      </c>
      <c r="G195" s="81" t="s">
        <v>183</v>
      </c>
      <c r="H195" s="82" t="s">
        <v>225</v>
      </c>
      <c r="I195" s="49" t="s">
        <v>191</v>
      </c>
      <c r="J195" s="66" t="s">
        <v>594</v>
      </c>
      <c r="Q195"/>
      <c r="R195"/>
      <c r="S195"/>
    </row>
    <row r="196" spans="2:19" ht="33.75" x14ac:dyDescent="0.25">
      <c r="B196" s="6">
        <f xml:space="preserve"> ROW( co_scalarInfo[[#This Row],[row_id]] ) - ROW( co_scalarInfo[[#Headers],[row_id]] )</f>
        <v>7</v>
      </c>
      <c r="C196" s="32" t="s">
        <v>571</v>
      </c>
      <c r="D196" s="26" t="s">
        <v>572</v>
      </c>
      <c r="E196" s="81" t="s">
        <v>157</v>
      </c>
      <c r="F196" s="81" t="s">
        <v>184</v>
      </c>
      <c r="G196" s="81" t="s">
        <v>183</v>
      </c>
      <c r="H196" s="82" t="s">
        <v>225</v>
      </c>
      <c r="I196" s="49" t="s">
        <v>191</v>
      </c>
      <c r="J196" s="66" t="s">
        <v>595</v>
      </c>
      <c r="Q196"/>
      <c r="R196"/>
      <c r="S196"/>
    </row>
    <row r="197" spans="2:19" ht="15" x14ac:dyDescent="0.25">
      <c r="B197" s="6">
        <f xml:space="preserve"> ROW( co_scalarInfo[[#This Row],[row_id]] ) - ROW( co_scalarInfo[[#Headers],[row_id]] )</f>
        <v>8</v>
      </c>
      <c r="C197" s="32" t="s">
        <v>259</v>
      </c>
      <c r="D197" s="26" t="s">
        <v>261</v>
      </c>
      <c r="E197" s="81" t="s">
        <v>156</v>
      </c>
      <c r="F197" s="81" t="s">
        <v>128</v>
      </c>
      <c r="G197" s="81" t="s">
        <v>182</v>
      </c>
      <c r="H197" s="82" t="s">
        <v>225</v>
      </c>
      <c r="I197" s="49" t="s">
        <v>191</v>
      </c>
      <c r="J197" s="66"/>
      <c r="Q197"/>
      <c r="R197"/>
      <c r="S197"/>
    </row>
    <row r="198" spans="2:19" ht="15" x14ac:dyDescent="0.25">
      <c r="B198" s="6">
        <f xml:space="preserve"> ROW( co_scalarInfo[[#This Row],[row_id]] ) - ROW( co_scalarInfo[[#Headers],[row_id]] )</f>
        <v>9</v>
      </c>
      <c r="C198" s="26" t="s">
        <v>279</v>
      </c>
      <c r="D198" s="26" t="s">
        <v>110</v>
      </c>
      <c r="E198" s="81" t="s">
        <v>156</v>
      </c>
      <c r="F198" s="81" t="s">
        <v>128</v>
      </c>
      <c r="G198" s="81" t="s">
        <v>182</v>
      </c>
      <c r="H198" s="82">
        <v>2010</v>
      </c>
      <c r="I198" s="49" t="s">
        <v>191</v>
      </c>
      <c r="J198" s="66"/>
      <c r="Q198"/>
      <c r="R198"/>
      <c r="S198"/>
    </row>
    <row r="199" spans="2:19" ht="22.5" x14ac:dyDescent="0.25">
      <c r="B199" s="6">
        <f xml:space="preserve"> ROW( co_scalarInfo[[#This Row],[row_id]] ) - ROW( co_scalarInfo[[#Headers],[row_id]] )</f>
        <v>10</v>
      </c>
      <c r="C199" s="32" t="s">
        <v>154</v>
      </c>
      <c r="D199" s="26" t="s">
        <v>134</v>
      </c>
      <c r="E199" s="81" t="s">
        <v>156</v>
      </c>
      <c r="F199" s="81" t="s">
        <v>128</v>
      </c>
      <c r="G199" s="81" t="s">
        <v>182</v>
      </c>
      <c r="H199" s="81">
        <v>2010</v>
      </c>
      <c r="I199" s="49" t="s">
        <v>191</v>
      </c>
      <c r="J199" s="66"/>
      <c r="Q199"/>
      <c r="R199"/>
      <c r="S199"/>
    </row>
    <row r="200" spans="2:19" ht="22.5" x14ac:dyDescent="0.2">
      <c r="B200" s="6">
        <f xml:space="preserve"> ROW( co_scalarInfo[[#This Row],[row_id]] ) - ROW( co_scalarInfo[[#Headers],[row_id]] )</f>
        <v>11</v>
      </c>
      <c r="C200" s="32" t="s">
        <v>131</v>
      </c>
      <c r="D200" s="26" t="s">
        <v>130</v>
      </c>
      <c r="E200" s="81" t="s">
        <v>156</v>
      </c>
      <c r="F200" s="81" t="s">
        <v>128</v>
      </c>
      <c r="G200" s="81" t="s">
        <v>182</v>
      </c>
      <c r="H200" s="81">
        <v>2010</v>
      </c>
      <c r="I200" s="49" t="s">
        <v>191</v>
      </c>
      <c r="J200" s="66"/>
    </row>
    <row r="201" spans="2:19" ht="22.5" x14ac:dyDescent="0.2">
      <c r="B201" s="6">
        <f xml:space="preserve"> ROW( co_scalarInfo[[#This Row],[row_id]] ) - ROW( co_scalarInfo[[#Headers],[row_id]] )</f>
        <v>12</v>
      </c>
      <c r="C201" s="32" t="s">
        <v>132</v>
      </c>
      <c r="D201" s="26" t="s">
        <v>133</v>
      </c>
      <c r="E201" s="81" t="s">
        <v>156</v>
      </c>
      <c r="F201" s="81" t="s">
        <v>128</v>
      </c>
      <c r="G201" s="81" t="s">
        <v>182</v>
      </c>
      <c r="H201" s="81">
        <v>2010</v>
      </c>
      <c r="I201" s="49" t="s">
        <v>191</v>
      </c>
      <c r="J201" s="66"/>
    </row>
    <row r="202" spans="2:19" x14ac:dyDescent="0.2">
      <c r="B202" s="6">
        <f xml:space="preserve"> ROW( co_scalarInfo[[#This Row],[row_id]] ) - ROW( co_scalarInfo[[#Headers],[row_id]] )</f>
        <v>13</v>
      </c>
      <c r="C202" s="32" t="s">
        <v>91</v>
      </c>
      <c r="D202" s="26" t="s">
        <v>196</v>
      </c>
      <c r="E202" s="81" t="s">
        <v>156</v>
      </c>
      <c r="F202" s="81" t="s">
        <v>128</v>
      </c>
      <c r="G202" s="81" t="s">
        <v>182</v>
      </c>
      <c r="H202" s="81" t="s">
        <v>38</v>
      </c>
      <c r="I202" s="49" t="s">
        <v>193</v>
      </c>
      <c r="J202" s="66" t="s">
        <v>197</v>
      </c>
    </row>
    <row r="203" spans="2:19" x14ac:dyDescent="0.2">
      <c r="B203" s="6">
        <f xml:space="preserve"> ROW( co_scalarInfo[[#This Row],[row_id]] ) - ROW( co_scalarInfo[[#Headers],[row_id]] )</f>
        <v>14</v>
      </c>
      <c r="C203" s="32" t="s">
        <v>367</v>
      </c>
      <c r="D203" s="26" t="s">
        <v>368</v>
      </c>
      <c r="E203" s="81" t="s">
        <v>156</v>
      </c>
      <c r="F203" s="81" t="s">
        <v>128</v>
      </c>
      <c r="G203" s="81" t="s">
        <v>183</v>
      </c>
      <c r="H203" s="82">
        <v>2015</v>
      </c>
      <c r="I203" s="49"/>
      <c r="J203" s="66"/>
    </row>
    <row r="204" spans="2:19" x14ac:dyDescent="0.2">
      <c r="B204" s="6">
        <f xml:space="preserve"> ROW( co_scalarInfo[[#This Row],[row_id]] ) - ROW( co_scalarInfo[[#Headers],[row_id]] )</f>
        <v>15</v>
      </c>
      <c r="C204" s="32" t="s">
        <v>618</v>
      </c>
      <c r="D204" s="26" t="s">
        <v>620</v>
      </c>
      <c r="E204" s="81" t="s">
        <v>156</v>
      </c>
      <c r="F204" s="81" t="s">
        <v>184</v>
      </c>
      <c r="G204" s="81" t="s">
        <v>182</v>
      </c>
      <c r="H204" s="82">
        <v>2015</v>
      </c>
      <c r="I204" s="49" t="s">
        <v>191</v>
      </c>
      <c r="J204" s="66"/>
    </row>
    <row r="205" spans="2:19" x14ac:dyDescent="0.2">
      <c r="B205" s="6">
        <f xml:space="preserve"> ROW( co_scalarInfo[[#This Row],[row_id]] ) - ROW( co_scalarInfo[[#Headers],[row_id]] )</f>
        <v>16</v>
      </c>
      <c r="C205" s="32" t="s">
        <v>619</v>
      </c>
      <c r="D205" s="26" t="s">
        <v>621</v>
      </c>
      <c r="E205" s="81" t="s">
        <v>156</v>
      </c>
      <c r="F205" s="81" t="s">
        <v>184</v>
      </c>
      <c r="G205" s="81" t="s">
        <v>182</v>
      </c>
      <c r="H205" s="82">
        <v>2015</v>
      </c>
      <c r="I205" s="49" t="s">
        <v>191</v>
      </c>
      <c r="J205" s="66"/>
    </row>
    <row r="206" spans="2:19" ht="22.5" x14ac:dyDescent="0.2">
      <c r="B206" s="6">
        <f xml:space="preserve"> ROW( co_scalarInfo[[#This Row],[row_id]] ) - ROW( co_scalarInfo[[#Headers],[row_id]] )</f>
        <v>17</v>
      </c>
      <c r="C206" s="32" t="s">
        <v>260</v>
      </c>
      <c r="D206" s="26" t="s">
        <v>262</v>
      </c>
      <c r="E206" s="81" t="s">
        <v>156</v>
      </c>
      <c r="F206" s="81" t="s">
        <v>128</v>
      </c>
      <c r="G206" s="81" t="s">
        <v>182</v>
      </c>
      <c r="H206" s="82" t="s">
        <v>225</v>
      </c>
      <c r="I206" s="49" t="s">
        <v>191</v>
      </c>
      <c r="J206" s="66"/>
    </row>
    <row r="207" spans="2:19" x14ac:dyDescent="0.2">
      <c r="B207" s="6">
        <f xml:space="preserve"> ROW( co_scalarInfo[[#This Row],[row_id]] ) - ROW( co_scalarInfo[[#Headers],[row_id]] )</f>
        <v>18</v>
      </c>
      <c r="C207" s="32" t="s">
        <v>369</v>
      </c>
      <c r="D207" s="26" t="s">
        <v>370</v>
      </c>
      <c r="E207" s="81" t="s">
        <v>156</v>
      </c>
      <c r="F207" s="81" t="s">
        <v>128</v>
      </c>
      <c r="G207" s="81" t="s">
        <v>183</v>
      </c>
      <c r="H207" s="82">
        <v>2015</v>
      </c>
      <c r="I207" s="49"/>
      <c r="J207" s="66"/>
    </row>
    <row r="208" spans="2:19" x14ac:dyDescent="0.2">
      <c r="B208" s="6">
        <f xml:space="preserve"> ROW( co_scalarInfo[[#This Row],[row_id]] ) - ROW( co_scalarInfo[[#Headers],[row_id]] )</f>
        <v>19</v>
      </c>
      <c r="C208" s="26" t="s">
        <v>129</v>
      </c>
      <c r="D208" s="26" t="s">
        <v>16</v>
      </c>
      <c r="E208" s="81" t="s">
        <v>156</v>
      </c>
      <c r="F208" s="81" t="s">
        <v>128</v>
      </c>
      <c r="G208" s="81" t="s">
        <v>182</v>
      </c>
      <c r="H208" s="81">
        <v>2010</v>
      </c>
      <c r="I208" s="49" t="s">
        <v>191</v>
      </c>
      <c r="J208" s="66"/>
    </row>
    <row r="209" spans="2:10" x14ac:dyDescent="0.2">
      <c r="B209" s="6">
        <f xml:space="preserve"> ROW( co_scalarInfo[[#This Row],[row_id]] ) - ROW( co_scalarInfo[[#Headers],[row_id]] )</f>
        <v>20</v>
      </c>
      <c r="C209" s="32" t="s">
        <v>114</v>
      </c>
      <c r="D209" s="26" t="s">
        <v>113</v>
      </c>
      <c r="E209" s="81" t="s">
        <v>156</v>
      </c>
      <c r="F209" s="81" t="s">
        <v>128</v>
      </c>
      <c r="G209" s="81" t="s">
        <v>183</v>
      </c>
      <c r="H209" s="82">
        <v>2010</v>
      </c>
      <c r="I209" s="49" t="s">
        <v>191</v>
      </c>
      <c r="J209" s="66"/>
    </row>
    <row r="210" spans="2:10" x14ac:dyDescent="0.2">
      <c r="B210" s="6">
        <f xml:space="preserve"> ROW( co_scalarInfo[[#This Row],[row_id]] ) - ROW( co_scalarInfo[[#Headers],[row_id]] )</f>
        <v>21</v>
      </c>
      <c r="C210" s="32" t="s">
        <v>93</v>
      </c>
      <c r="D210" s="26" t="s">
        <v>136</v>
      </c>
      <c r="E210" s="81" t="s">
        <v>173</v>
      </c>
      <c r="F210" s="81" t="s">
        <v>184</v>
      </c>
      <c r="G210" s="81" t="s">
        <v>183</v>
      </c>
      <c r="H210" s="82" t="s">
        <v>225</v>
      </c>
      <c r="I210" s="49" t="s">
        <v>191</v>
      </c>
      <c r="J210" s="66"/>
    </row>
    <row r="211" spans="2:10" x14ac:dyDescent="0.2">
      <c r="B211" s="6">
        <f xml:space="preserve"> ROW( co_scalarInfo[[#This Row],[row_id]] ) - ROW( co_scalarInfo[[#Headers],[row_id]] )</f>
        <v>22</v>
      </c>
      <c r="C211" s="32" t="s">
        <v>91</v>
      </c>
      <c r="D211" s="26" t="s">
        <v>196</v>
      </c>
      <c r="E211" s="81" t="s">
        <v>173</v>
      </c>
      <c r="F211" s="81" t="s">
        <v>128</v>
      </c>
      <c r="G211" s="81" t="s">
        <v>182</v>
      </c>
      <c r="H211" s="81" t="s">
        <v>38</v>
      </c>
      <c r="I211" s="49" t="s">
        <v>193</v>
      </c>
      <c r="J211" s="66" t="s">
        <v>197</v>
      </c>
    </row>
    <row r="212" spans="2:10" ht="22.5" x14ac:dyDescent="0.2">
      <c r="B212" s="6">
        <f xml:space="preserve"> ROW( co_scalarInfo[[#This Row],[row_id]] ) - ROW( co_scalarInfo[[#Headers],[row_id]] )</f>
        <v>23</v>
      </c>
      <c r="C212" s="32" t="s">
        <v>280</v>
      </c>
      <c r="D212" s="26" t="s">
        <v>255</v>
      </c>
      <c r="E212" s="81" t="s">
        <v>173</v>
      </c>
      <c r="F212" s="81" t="s">
        <v>128</v>
      </c>
      <c r="G212" s="81" t="s">
        <v>182</v>
      </c>
      <c r="H212" s="82" t="s">
        <v>225</v>
      </c>
      <c r="I212" s="49" t="s">
        <v>191</v>
      </c>
      <c r="J212" s="66"/>
    </row>
    <row r="213" spans="2:10" ht="22.5" x14ac:dyDescent="0.2">
      <c r="B213" s="6">
        <f xml:space="preserve"> ROW( co_scalarInfo[[#This Row],[row_id]] ) - ROW( co_scalarInfo[[#Headers],[row_id]] )</f>
        <v>24</v>
      </c>
      <c r="C213" s="32" t="s">
        <v>257</v>
      </c>
      <c r="D213" s="26" t="s">
        <v>254</v>
      </c>
      <c r="E213" s="81" t="s">
        <v>173</v>
      </c>
      <c r="F213" s="81" t="s">
        <v>128</v>
      </c>
      <c r="G213" s="81" t="s">
        <v>182</v>
      </c>
      <c r="H213" s="82" t="s">
        <v>225</v>
      </c>
      <c r="I213" s="49" t="s">
        <v>191</v>
      </c>
      <c r="J213" s="66"/>
    </row>
    <row r="214" spans="2:10" ht="22.5" x14ac:dyDescent="0.2">
      <c r="B214" s="6">
        <f xml:space="preserve"> ROW( co_scalarInfo[[#This Row],[row_id]] ) - ROW( co_scalarInfo[[#Headers],[row_id]] )</f>
        <v>25</v>
      </c>
      <c r="C214" s="32" t="s">
        <v>258</v>
      </c>
      <c r="D214" s="26" t="s">
        <v>256</v>
      </c>
      <c r="E214" s="81" t="s">
        <v>173</v>
      </c>
      <c r="F214" s="81" t="s">
        <v>128</v>
      </c>
      <c r="G214" s="81" t="s">
        <v>182</v>
      </c>
      <c r="H214" s="82" t="s">
        <v>225</v>
      </c>
      <c r="I214" s="49" t="s">
        <v>191</v>
      </c>
      <c r="J214" s="66"/>
    </row>
    <row r="215" spans="2:10" x14ac:dyDescent="0.2">
      <c r="B215" s="6">
        <f xml:space="preserve"> ROW( co_scalarInfo[[#This Row],[row_id]] ) - ROW( co_scalarInfo[[#Headers],[row_id]] )</f>
        <v>26</v>
      </c>
      <c r="C215" s="32" t="s">
        <v>278</v>
      </c>
      <c r="D215" s="26" t="s">
        <v>277</v>
      </c>
      <c r="E215" s="81" t="s">
        <v>158</v>
      </c>
      <c r="F215" s="81" t="s">
        <v>184</v>
      </c>
      <c r="G215" s="81" t="s">
        <v>183</v>
      </c>
      <c r="H215" s="82" t="s">
        <v>225</v>
      </c>
      <c r="I215" s="49" t="s">
        <v>191</v>
      </c>
      <c r="J215" s="66"/>
    </row>
    <row r="216" spans="2:10" x14ac:dyDescent="0.2">
      <c r="B216" s="6">
        <f xml:space="preserve"> ROW( co_scalarInfo[[#This Row],[row_id]] ) - ROW( co_scalarInfo[[#Headers],[row_id]] )</f>
        <v>27</v>
      </c>
      <c r="C216" s="32" t="s">
        <v>103</v>
      </c>
      <c r="D216" s="26" t="s">
        <v>102</v>
      </c>
      <c r="E216" s="81" t="s">
        <v>158</v>
      </c>
      <c r="F216" s="81" t="s">
        <v>184</v>
      </c>
      <c r="G216" s="81" t="s">
        <v>183</v>
      </c>
      <c r="H216" s="82" t="s">
        <v>225</v>
      </c>
      <c r="I216" s="49" t="s">
        <v>191</v>
      </c>
      <c r="J216" s="66"/>
    </row>
    <row r="217" spans="2:10" x14ac:dyDescent="0.2">
      <c r="B217" s="6">
        <f xml:space="preserve"> ROW( co_scalarInfo[[#This Row],[row_id]] ) - ROW( co_scalarInfo[[#Headers],[row_id]] )</f>
        <v>28</v>
      </c>
      <c r="C217" s="32" t="s">
        <v>91</v>
      </c>
      <c r="D217" s="26" t="s">
        <v>196</v>
      </c>
      <c r="E217" s="81" t="s">
        <v>158</v>
      </c>
      <c r="F217" s="81" t="s">
        <v>128</v>
      </c>
      <c r="G217" s="81" t="s">
        <v>182</v>
      </c>
      <c r="H217" s="81" t="s">
        <v>38</v>
      </c>
      <c r="I217" s="49" t="s">
        <v>193</v>
      </c>
      <c r="J217" s="66" t="s">
        <v>197</v>
      </c>
    </row>
    <row r="218" spans="2:10" x14ac:dyDescent="0.2">
      <c r="B218" s="6">
        <f xml:space="preserve"> ROW( co_scalarInfo[[#This Row],[row_id]] ) - ROW( co_scalarInfo[[#Headers],[row_id]] )</f>
        <v>29</v>
      </c>
      <c r="C218" s="32" t="s">
        <v>72</v>
      </c>
      <c r="D218" s="26" t="s">
        <v>52</v>
      </c>
      <c r="E218" s="81" t="s">
        <v>158</v>
      </c>
      <c r="F218" s="81" t="s">
        <v>128</v>
      </c>
      <c r="G218" s="81" t="s">
        <v>183</v>
      </c>
      <c r="H218" s="82">
        <v>2010</v>
      </c>
      <c r="I218" s="49" t="s">
        <v>191</v>
      </c>
      <c r="J218" s="66"/>
    </row>
    <row r="219" spans="2:10" x14ac:dyDescent="0.2">
      <c r="B219" s="6">
        <f xml:space="preserve"> ROW( co_scalarInfo[[#This Row],[row_id]] ) - ROW( co_scalarInfo[[#Headers],[row_id]] )</f>
        <v>30</v>
      </c>
      <c r="C219" s="32" t="s">
        <v>87</v>
      </c>
      <c r="D219" s="26" t="s">
        <v>48</v>
      </c>
      <c r="E219" s="81" t="s">
        <v>158</v>
      </c>
      <c r="F219" s="81" t="s">
        <v>184</v>
      </c>
      <c r="G219" s="81" t="s">
        <v>183</v>
      </c>
      <c r="H219" s="82" t="s">
        <v>225</v>
      </c>
      <c r="I219" s="49" t="s">
        <v>192</v>
      </c>
      <c r="J219" s="66"/>
    </row>
    <row r="220" spans="2:10" x14ac:dyDescent="0.2">
      <c r="B220" s="6">
        <f xml:space="preserve"> ROW( co_scalarInfo[[#This Row],[row_id]] ) - ROW( co_scalarInfo[[#Headers],[row_id]] )</f>
        <v>31</v>
      </c>
      <c r="C220" s="32" t="s">
        <v>86</v>
      </c>
      <c r="D220" s="26" t="s">
        <v>139</v>
      </c>
      <c r="E220" s="81" t="s">
        <v>158</v>
      </c>
      <c r="F220" s="81" t="s">
        <v>128</v>
      </c>
      <c r="G220" s="81" t="s">
        <v>183</v>
      </c>
      <c r="H220" s="82">
        <v>2010</v>
      </c>
      <c r="I220" s="49" t="s">
        <v>191</v>
      </c>
      <c r="J220" s="66"/>
    </row>
    <row r="221" spans="2:10" x14ac:dyDescent="0.2">
      <c r="B221" s="6">
        <f xml:space="preserve"> ROW( co_scalarInfo[[#This Row],[row_id]] ) - ROW( co_scalarInfo[[#Headers],[row_id]] )</f>
        <v>32</v>
      </c>
      <c r="C221" s="32"/>
      <c r="D221" s="26"/>
      <c r="E221" s="81"/>
      <c r="F221" s="81"/>
      <c r="G221" s="81"/>
      <c r="H221" s="82"/>
      <c r="I221" s="49"/>
      <c r="J221" s="66"/>
    </row>
    <row r="222" spans="2:10" ht="33.75" x14ac:dyDescent="0.2">
      <c r="B222" s="6">
        <f xml:space="preserve"> ROW( co_scalarInfo[[#This Row],[row_id]] ) - ROW( co_scalarInfo[[#Headers],[row_id]] )</f>
        <v>33</v>
      </c>
      <c r="C222" s="28" t="s">
        <v>573</v>
      </c>
      <c r="D222" s="26" t="s">
        <v>575</v>
      </c>
      <c r="E222" s="81" t="s">
        <v>173</v>
      </c>
      <c r="F222" s="81" t="s">
        <v>184</v>
      </c>
      <c r="G222" s="81" t="s">
        <v>183</v>
      </c>
      <c r="H222" s="82" t="s">
        <v>225</v>
      </c>
      <c r="I222" s="49"/>
      <c r="J222" s="66"/>
    </row>
    <row r="223" spans="2:10" ht="33.75" x14ac:dyDescent="0.2">
      <c r="B223" s="6">
        <f xml:space="preserve"> ROW( co_scalarInfo[[#This Row],[row_id]] ) - ROW( co_scalarInfo[[#Headers],[row_id]] )</f>
        <v>34</v>
      </c>
      <c r="C223" s="28" t="s">
        <v>574</v>
      </c>
      <c r="D223" s="26" t="s">
        <v>576</v>
      </c>
      <c r="E223" s="81" t="s">
        <v>173</v>
      </c>
      <c r="F223" s="81" t="s">
        <v>184</v>
      </c>
      <c r="G223" s="81" t="s">
        <v>183</v>
      </c>
      <c r="H223" s="82" t="s">
        <v>225</v>
      </c>
      <c r="I223" s="49"/>
      <c r="J223" s="66"/>
    </row>
    <row r="224" spans="2:10" ht="22.5" x14ac:dyDescent="0.2">
      <c r="B224" s="6">
        <f xml:space="preserve"> ROW( co_scalarInfo[[#This Row],[row_id]] ) - ROW( co_scalarInfo[[#Headers],[row_id]] )</f>
        <v>35</v>
      </c>
      <c r="C224" s="32" t="s">
        <v>436</v>
      </c>
      <c r="D224" s="26" t="s">
        <v>437</v>
      </c>
      <c r="E224" s="81" t="s">
        <v>157</v>
      </c>
      <c r="F224" s="81" t="s">
        <v>184</v>
      </c>
      <c r="G224" s="81" t="s">
        <v>183</v>
      </c>
      <c r="H224" s="82" t="s">
        <v>225</v>
      </c>
      <c r="I224" s="49"/>
      <c r="J224" s="66"/>
    </row>
    <row r="225" spans="1:21" ht="33.75" x14ac:dyDescent="0.2">
      <c r="B225" s="6">
        <f xml:space="preserve"> ROW( co_scalarInfo[[#This Row],[row_id]] ) - ROW( co_scalarInfo[[#Headers],[row_id]] )</f>
        <v>36</v>
      </c>
      <c r="C225" s="32" t="s">
        <v>438</v>
      </c>
      <c r="D225" s="26" t="s">
        <v>439</v>
      </c>
      <c r="E225" s="81" t="s">
        <v>173</v>
      </c>
      <c r="F225" s="81" t="s">
        <v>184</v>
      </c>
      <c r="G225" s="81" t="s">
        <v>183</v>
      </c>
      <c r="H225" s="82" t="s">
        <v>225</v>
      </c>
      <c r="I225" s="49"/>
      <c r="J225" s="66"/>
    </row>
    <row r="228" spans="1:21" ht="15" x14ac:dyDescent="0.25">
      <c r="A228" s="16"/>
      <c r="B228" s="17" t="s">
        <v>292</v>
      </c>
      <c r="C228" s="17"/>
      <c r="D228" s="17"/>
      <c r="E228" s="17"/>
      <c r="F228" s="17"/>
      <c r="G228" s="17"/>
      <c r="H228" s="17"/>
      <c r="I228" s="17"/>
      <c r="J228" s="17"/>
      <c r="K228" s="17"/>
      <c r="L228" s="17"/>
      <c r="M228" s="17"/>
      <c r="N228" s="17"/>
      <c r="O228" s="17"/>
      <c r="P228" s="17"/>
      <c r="Q228" s="17"/>
      <c r="R228" s="17"/>
      <c r="S228" s="17"/>
      <c r="T228" s="17"/>
      <c r="U228" s="17"/>
    </row>
    <row r="230" spans="1:21" x14ac:dyDescent="0.2">
      <c r="B230" s="29" t="s">
        <v>123</v>
      </c>
      <c r="C230" s="29" t="s">
        <v>198</v>
      </c>
      <c r="D230" s="29" t="s">
        <v>223</v>
      </c>
      <c r="E230" s="30" t="s">
        <v>159</v>
      </c>
    </row>
    <row r="231" spans="1:21" x14ac:dyDescent="0.2">
      <c r="B231" s="4">
        <f xml:space="preserve"> ROW( co_econMultipliers[[#This Row],[row_id]] ) - ROW( co_econMultipliers[[#Headers],[row_id]] )</f>
        <v>1</v>
      </c>
      <c r="C231" s="7" t="s">
        <v>187</v>
      </c>
      <c r="D231" s="45" t="s">
        <v>194</v>
      </c>
      <c r="E231" s="46">
        <v>2015</v>
      </c>
    </row>
    <row r="232" spans="1:21" x14ac:dyDescent="0.2">
      <c r="B232" s="4">
        <f xml:space="preserve"> ROW( co_econMultipliers[[#This Row],[row_id]] ) - ROW( co_econMultipliers[[#Headers],[row_id]] )</f>
        <v>2</v>
      </c>
      <c r="C232" s="7" t="s">
        <v>92</v>
      </c>
      <c r="D232" s="45" t="s">
        <v>195</v>
      </c>
      <c r="E232" s="46" t="s">
        <v>38</v>
      </c>
    </row>
    <row r="233" spans="1:21" x14ac:dyDescent="0.2">
      <c r="B233" s="4">
        <f xml:space="preserve"> ROW( co_econMultipliers[[#This Row],[row_id]] ) - ROW( co_econMultipliers[[#Headers],[row_id]] )</f>
        <v>3</v>
      </c>
      <c r="C233" s="7" t="s">
        <v>91</v>
      </c>
      <c r="D233" s="45" t="s">
        <v>196</v>
      </c>
      <c r="E233" s="46" t="s">
        <v>38</v>
      </c>
    </row>
    <row r="236" spans="1:21" ht="15" x14ac:dyDescent="0.25">
      <c r="A236" s="16"/>
      <c r="B236" s="17" t="s">
        <v>293</v>
      </c>
      <c r="C236" s="17"/>
      <c r="D236" s="17"/>
      <c r="E236" s="17"/>
      <c r="F236" s="17"/>
      <c r="G236" s="17"/>
      <c r="H236" s="17"/>
      <c r="I236" s="17"/>
      <c r="J236" s="17"/>
      <c r="K236" s="17"/>
      <c r="L236" s="17"/>
      <c r="M236" s="17"/>
      <c r="N236" s="17"/>
      <c r="O236" s="17"/>
      <c r="P236" s="17"/>
      <c r="Q236" s="17"/>
      <c r="R236" s="17"/>
      <c r="S236" s="17"/>
      <c r="T236" s="17"/>
      <c r="U236" s="17"/>
    </row>
    <row r="238" spans="1:21" x14ac:dyDescent="0.2">
      <c r="B238" s="29" t="s">
        <v>123</v>
      </c>
      <c r="C238" s="29" t="s">
        <v>128</v>
      </c>
      <c r="D238" s="29" t="s">
        <v>90</v>
      </c>
    </row>
    <row r="239" spans="1:21" x14ac:dyDescent="0.2">
      <c r="B239" s="4">
        <f xml:space="preserve"> ROW( co_constants[[#This Row],[row_id]] ) - ROW( co_constants[[#Headers],[row_id]] )</f>
        <v>1</v>
      </c>
      <c r="C239" s="7" t="s">
        <v>125</v>
      </c>
      <c r="D239" s="85">
        <f xml:space="preserve"> 10^9</f>
        <v>1000000000</v>
      </c>
    </row>
    <row r="240" spans="1:21" x14ac:dyDescent="0.2">
      <c r="B240" s="4">
        <f xml:space="preserve"> ROW( co_constants[[#This Row],[row_id]] ) - ROW( co_constants[[#Headers],[row_id]] )</f>
        <v>2</v>
      </c>
      <c r="C240" s="7" t="s">
        <v>126</v>
      </c>
      <c r="D240" s="85">
        <f xml:space="preserve"> 10^6</f>
        <v>1000000</v>
      </c>
    </row>
    <row r="241" spans="1:21" x14ac:dyDescent="0.2">
      <c r="B241" s="4">
        <f xml:space="preserve"> ROW( co_constants[[#This Row],[row_id]] ) - ROW( co_constants[[#Headers],[row_id]] )</f>
        <v>3</v>
      </c>
      <c r="C241" s="7" t="s">
        <v>127</v>
      </c>
      <c r="D241" s="85">
        <v>1000</v>
      </c>
    </row>
    <row r="244" spans="1:21" ht="15" x14ac:dyDescent="0.25">
      <c r="A244" s="16"/>
      <c r="B244" s="17" t="s">
        <v>546</v>
      </c>
      <c r="C244" s="17"/>
      <c r="D244" s="17"/>
      <c r="E244" s="17"/>
      <c r="F244" s="17"/>
      <c r="G244" s="17"/>
      <c r="H244" s="17"/>
      <c r="I244" s="17"/>
      <c r="J244" s="17"/>
      <c r="K244" s="17"/>
      <c r="L244" s="17"/>
      <c r="M244" s="17"/>
      <c r="N244" s="17"/>
      <c r="O244" s="17"/>
      <c r="P244" s="17"/>
      <c r="Q244" s="17"/>
      <c r="R244" s="17"/>
      <c r="S244" s="17"/>
      <c r="T244" s="17"/>
      <c r="U244" s="17"/>
    </row>
    <row r="245" spans="1:21" x14ac:dyDescent="0.2">
      <c r="B245" s="2" t="s">
        <v>547</v>
      </c>
    </row>
    <row r="247" spans="1:21" x14ac:dyDescent="0.2">
      <c r="B247" s="44" t="s">
        <v>123</v>
      </c>
      <c r="C247" s="29" t="s">
        <v>200</v>
      </c>
      <c r="D247" s="29" t="s">
        <v>135</v>
      </c>
      <c r="E247" s="29" t="s">
        <v>198</v>
      </c>
      <c r="F247" s="29" t="s">
        <v>107</v>
      </c>
      <c r="G247" s="29" t="s">
        <v>108</v>
      </c>
      <c r="H247" s="29" t="s">
        <v>548</v>
      </c>
      <c r="I247" s="29" t="s">
        <v>549</v>
      </c>
    </row>
    <row r="248" spans="1:21" x14ac:dyDescent="0.2">
      <c r="B248" s="4">
        <f xml:space="preserve"> ROW( co_slrScalars[[#This Row],[row_id]] ) - ROW( co_slrScalars[[#Headers],[row_id]] )</f>
        <v>1</v>
      </c>
      <c r="C248" s="45" t="s">
        <v>21</v>
      </c>
      <c r="D248" s="45" t="s">
        <v>87</v>
      </c>
      <c r="E248" s="45" t="s">
        <v>92</v>
      </c>
      <c r="F248" s="45">
        <v>1</v>
      </c>
      <c r="G248" s="45">
        <v>0.45</v>
      </c>
      <c r="H248" s="45">
        <v>0</v>
      </c>
      <c r="I248" s="45">
        <v>2100</v>
      </c>
    </row>
    <row r="249" spans="1:21" x14ac:dyDescent="0.2">
      <c r="B249" s="4">
        <f xml:space="preserve"> ROW( co_slrScalars[[#This Row],[row_id]] ) - ROW( co_slrScalars[[#Headers],[row_id]] )</f>
        <v>2</v>
      </c>
      <c r="C249" s="45" t="s">
        <v>58</v>
      </c>
      <c r="D249" s="45" t="s">
        <v>87</v>
      </c>
      <c r="E249" s="45" t="s">
        <v>187</v>
      </c>
      <c r="F249" s="45">
        <v>0.16250000000000001</v>
      </c>
      <c r="G249" s="45">
        <v>1</v>
      </c>
      <c r="H249" s="45">
        <v>0.83750000000000002</v>
      </c>
      <c r="I249" s="45">
        <v>2100</v>
      </c>
    </row>
    <row r="252" spans="1:21" ht="15" x14ac:dyDescent="0.25">
      <c r="A252" s="16"/>
      <c r="B252" s="17" t="s">
        <v>290</v>
      </c>
      <c r="C252" s="17"/>
      <c r="D252" s="17"/>
      <c r="E252" s="17"/>
      <c r="F252" s="17"/>
      <c r="G252" s="17"/>
      <c r="H252" s="17"/>
      <c r="I252" s="17"/>
      <c r="J252" s="17"/>
      <c r="K252" s="17"/>
      <c r="L252" s="17"/>
      <c r="M252" s="17"/>
      <c r="N252" s="17"/>
      <c r="O252" s="17"/>
      <c r="P252" s="17"/>
      <c r="Q252" s="17"/>
      <c r="R252" s="17"/>
      <c r="S252" s="17"/>
      <c r="T252" s="17"/>
      <c r="U252" s="17"/>
    </row>
    <row r="254" spans="1:21" x14ac:dyDescent="0.2">
      <c r="B254" s="38" t="s">
        <v>123</v>
      </c>
      <c r="C254" s="38" t="s">
        <v>231</v>
      </c>
      <c r="D254" s="38" t="s">
        <v>232</v>
      </c>
      <c r="E254" s="40" t="s">
        <v>307</v>
      </c>
      <c r="F254" s="40" t="s">
        <v>236</v>
      </c>
      <c r="G254" s="39" t="s">
        <v>237</v>
      </c>
      <c r="H254" s="39" t="s">
        <v>239</v>
      </c>
      <c r="I254" s="37" t="s">
        <v>245</v>
      </c>
      <c r="J254" s="37" t="s">
        <v>244</v>
      </c>
      <c r="K254" s="37" t="s">
        <v>248</v>
      </c>
      <c r="L254" s="37" t="s">
        <v>249</v>
      </c>
    </row>
    <row r="255" spans="1:21" x14ac:dyDescent="0.2">
      <c r="B255" s="4">
        <f xml:space="preserve"> ROW( co_modelTypes[[#This Row],[row_id]] ) - ROW( co_modelTypes[[#Headers],[row_id]] )</f>
        <v>1</v>
      </c>
      <c r="C255" s="7" t="s">
        <v>161</v>
      </c>
      <c r="D255" s="7" t="s">
        <v>230</v>
      </c>
      <c r="E255" s="42" t="s">
        <v>308</v>
      </c>
      <c r="F255" s="42" t="s">
        <v>229</v>
      </c>
      <c r="G255" s="41" t="s">
        <v>238</v>
      </c>
      <c r="H255" s="41" t="s">
        <v>234</v>
      </c>
      <c r="I255" s="43">
        <v>1</v>
      </c>
      <c r="J255" s="43">
        <v>1995</v>
      </c>
      <c r="K255" s="43">
        <v>6</v>
      </c>
      <c r="L255" s="43">
        <v>30</v>
      </c>
    </row>
    <row r="256" spans="1:21" x14ac:dyDescent="0.2">
      <c r="B256" s="4">
        <f xml:space="preserve"> ROW( co_modelTypes[[#This Row],[row_id]] ) - ROW( co_modelTypes[[#Headers],[row_id]] )</f>
        <v>2</v>
      </c>
      <c r="C256" s="7" t="s">
        <v>160</v>
      </c>
      <c r="D256" s="7" t="s">
        <v>233</v>
      </c>
      <c r="E256" s="42" t="s">
        <v>160</v>
      </c>
      <c r="F256" s="42" t="s">
        <v>323</v>
      </c>
      <c r="G256" s="41" t="s">
        <v>235</v>
      </c>
      <c r="H256" s="41" t="s">
        <v>235</v>
      </c>
      <c r="I256" s="43">
        <v>25</v>
      </c>
      <c r="J256" s="43">
        <v>2000</v>
      </c>
      <c r="K256" s="43">
        <v>250</v>
      </c>
      <c r="L256" s="43">
        <v>1000</v>
      </c>
    </row>
    <row r="259" spans="1:21" ht="15" x14ac:dyDescent="0.25">
      <c r="A259" s="16"/>
      <c r="B259" s="17" t="s">
        <v>578</v>
      </c>
      <c r="C259" s="17"/>
      <c r="D259" s="17"/>
      <c r="E259" s="17"/>
      <c r="F259" s="17"/>
      <c r="G259" s="17"/>
      <c r="H259" s="17"/>
      <c r="I259" s="17"/>
      <c r="J259" s="17"/>
      <c r="K259" s="17"/>
      <c r="L259" s="17"/>
      <c r="M259" s="17"/>
      <c r="N259" s="17"/>
      <c r="O259" s="17"/>
      <c r="P259" s="17"/>
      <c r="Q259" s="17"/>
      <c r="R259" s="17"/>
      <c r="S259" s="17"/>
      <c r="T259" s="17"/>
      <c r="U259" s="17"/>
    </row>
    <row r="261" spans="1:21" x14ac:dyDescent="0.2">
      <c r="B261" s="44" t="s">
        <v>123</v>
      </c>
      <c r="C261" s="29" t="s">
        <v>188</v>
      </c>
      <c r="D261" s="29" t="s">
        <v>545</v>
      </c>
      <c r="E261" s="29" t="s">
        <v>179</v>
      </c>
      <c r="F261" s="30" t="s">
        <v>227</v>
      </c>
    </row>
    <row r="262" spans="1:21" x14ac:dyDescent="0.2">
      <c r="B262" s="4">
        <f xml:space="preserve"> ROW( co_models[[#This Row],[row_id]] ) - ROW( co_models[[#Headers],[row_id]] )</f>
        <v>1</v>
      </c>
      <c r="C262" s="90" t="str">
        <f xml:space="preserve"> SUBSTITUTE( SUBSTITUTE( co_models[[#This Row],[model_label]], " ", "" ), "-", "" )</f>
        <v>CanESM2</v>
      </c>
      <c r="D262" s="45">
        <v>6</v>
      </c>
      <c r="E262" s="45" t="s">
        <v>161</v>
      </c>
      <c r="F262" s="87" t="s">
        <v>0</v>
      </c>
    </row>
    <row r="263" spans="1:21" x14ac:dyDescent="0.2">
      <c r="B263" s="4">
        <f xml:space="preserve"> ROW( co_models[[#This Row],[row_id]] ) - ROW( co_models[[#Headers],[row_id]] )</f>
        <v>2</v>
      </c>
      <c r="C263" s="90" t="str">
        <f xml:space="preserve"> SUBSTITUTE( SUBSTITUTE( co_models[[#This Row],[model_label]], " ", "" ), "-", "" )</f>
        <v>CCSM4</v>
      </c>
      <c r="D263" s="45">
        <v>5</v>
      </c>
      <c r="E263" s="45" t="s">
        <v>161</v>
      </c>
      <c r="F263" s="87" t="s">
        <v>1</v>
      </c>
    </row>
    <row r="264" spans="1:21" x14ac:dyDescent="0.2">
      <c r="B264" s="4">
        <f xml:space="preserve"> ROW( co_models[[#This Row],[row_id]] ) - ROW( co_models[[#Headers],[row_id]] )</f>
        <v>3</v>
      </c>
      <c r="C264" s="90" t="str">
        <f xml:space="preserve"> SUBSTITUTE( SUBSTITUTE( co_models[[#This Row],[model_label]], " ", "" ), "-", "" )</f>
        <v>GISSE2R</v>
      </c>
      <c r="D264" s="45">
        <v>3</v>
      </c>
      <c r="E264" s="45" t="s">
        <v>161</v>
      </c>
      <c r="F264" s="87" t="s">
        <v>2</v>
      </c>
    </row>
    <row r="265" spans="1:21" x14ac:dyDescent="0.2">
      <c r="B265" s="4">
        <f xml:space="preserve"> ROW( co_models[[#This Row],[row_id]] ) - ROW( co_models[[#Headers],[row_id]] )</f>
        <v>4</v>
      </c>
      <c r="C265" s="90" t="str">
        <f xml:space="preserve"> SUBSTITUTE( SUBSTITUTE( co_models[[#This Row],[model_label]], " ", "" ), "-", "" )</f>
        <v>HadGEM2ES</v>
      </c>
      <c r="D265" s="45">
        <v>6</v>
      </c>
      <c r="E265" s="45" t="s">
        <v>161</v>
      </c>
      <c r="F265" s="87" t="s">
        <v>3</v>
      </c>
    </row>
    <row r="266" spans="1:21" x14ac:dyDescent="0.2">
      <c r="B266" s="4">
        <f xml:space="preserve"> ROW( co_models[[#This Row],[row_id]] ) - ROW( co_models[[#Headers],[row_id]] )</f>
        <v>5</v>
      </c>
      <c r="C266" s="90" t="str">
        <f xml:space="preserve"> SUBSTITUTE( SUBSTITUTE( co_models[[#This Row],[model_label]], " ", "" ), "-", "" )</f>
        <v>MIROC5</v>
      </c>
      <c r="D266" s="45">
        <v>5</v>
      </c>
      <c r="E266" s="45" t="s">
        <v>161</v>
      </c>
      <c r="F266" s="87" t="s">
        <v>4</v>
      </c>
    </row>
    <row r="267" spans="1:21" x14ac:dyDescent="0.2">
      <c r="B267" s="4">
        <f xml:space="preserve"> ROW( co_models[[#This Row],[row_id]] ) - ROW( co_models[[#Headers],[row_id]] )</f>
        <v>6</v>
      </c>
      <c r="C267" s="90" t="str">
        <f xml:space="preserve"> SUBSTITUTE( SUBSTITUTE( co_models[[#This Row],[model_label]], " ", "" ), "-", "" )</f>
        <v>GFDLCM3</v>
      </c>
      <c r="D267" s="45">
        <v>6</v>
      </c>
      <c r="E267" s="45" t="s">
        <v>161</v>
      </c>
      <c r="F267" s="87" t="s">
        <v>5</v>
      </c>
    </row>
    <row r="268" spans="1:21" x14ac:dyDescent="0.2">
      <c r="B268" s="4">
        <f xml:space="preserve"> ROW( co_models[[#This Row],[row_id]] ) - ROW( co_models[[#Headers],[row_id]] )</f>
        <v>7</v>
      </c>
      <c r="C268" s="90" t="str">
        <f xml:space="preserve"> SUBSTITUTE( SUBSTITUTE( co_models[[#This Row],[model_label]], " ", "" ), "-", "" )</f>
        <v>MRICGCM3</v>
      </c>
      <c r="D268" s="45">
        <v>3</v>
      </c>
      <c r="E268" s="45" t="s">
        <v>161</v>
      </c>
      <c r="F268" s="87" t="s">
        <v>341</v>
      </c>
    </row>
    <row r="269" spans="1:21" x14ac:dyDescent="0.2">
      <c r="B269" s="4">
        <f xml:space="preserve"> ROW( co_models[[#This Row],[row_id]] ) - ROW( co_models[[#Headers],[row_id]] )</f>
        <v>8</v>
      </c>
      <c r="C269" s="90" t="str">
        <f xml:space="preserve"> SUBSTITUTE( SUBSTITUTE( co_models[[#This Row],[model_label]], " ", "" ), "-", "" )</f>
        <v>GCMEnsemble</v>
      </c>
      <c r="D269" s="45">
        <v>5</v>
      </c>
      <c r="E269" s="45" t="s">
        <v>161</v>
      </c>
      <c r="F269" s="87" t="s">
        <v>339</v>
      </c>
    </row>
    <row r="270" spans="1:21" x14ac:dyDescent="0.2">
      <c r="B270" s="4">
        <f xml:space="preserve"> ROW( co_models[[#This Row],[row_id]] ) - ROW( co_models[[#Headers],[row_id]] )</f>
        <v>9</v>
      </c>
      <c r="C270" s="90" t="str">
        <f xml:space="preserve"> SUBSTITUTE( SUBSTITUTE( co_models[[#This Row],[model_label]], " ", "" ), "-", "" )</f>
        <v>30cm</v>
      </c>
      <c r="D270" s="45">
        <v>250</v>
      </c>
      <c r="E270" s="45" t="s">
        <v>160</v>
      </c>
      <c r="F270" s="87" t="s">
        <v>579</v>
      </c>
    </row>
    <row r="271" spans="1:21" x14ac:dyDescent="0.2">
      <c r="B271" s="4">
        <f xml:space="preserve"> ROW( co_models[[#This Row],[row_id]] ) - ROW( co_models[[#Headers],[row_id]] )</f>
        <v>10</v>
      </c>
      <c r="C271" s="90" t="str">
        <f xml:space="preserve"> SUBSTITUTE( SUBSTITUTE( co_models[[#This Row],[model_label]], " ", "" ), "-", "" )</f>
        <v>50cm</v>
      </c>
      <c r="D271" s="45">
        <v>250</v>
      </c>
      <c r="E271" s="45" t="s">
        <v>160</v>
      </c>
      <c r="F271" s="87" t="s">
        <v>580</v>
      </c>
    </row>
    <row r="272" spans="1:21" x14ac:dyDescent="0.2">
      <c r="B272" s="4">
        <f xml:space="preserve"> ROW( co_models[[#This Row],[row_id]] ) - ROW( co_models[[#Headers],[row_id]] )</f>
        <v>11</v>
      </c>
      <c r="C272" s="90" t="str">
        <f xml:space="preserve"> SUBSTITUTE( SUBSTITUTE( co_models[[#This Row],[model_label]], " ", "" ), "-", "" )</f>
        <v>100cm</v>
      </c>
      <c r="D272" s="45">
        <v>250</v>
      </c>
      <c r="E272" s="45" t="s">
        <v>160</v>
      </c>
      <c r="F272" s="87" t="s">
        <v>581</v>
      </c>
    </row>
    <row r="273" spans="1:21" x14ac:dyDescent="0.2">
      <c r="B273" s="4">
        <f xml:space="preserve"> ROW( co_models[[#This Row],[row_id]] ) - ROW( co_models[[#Headers],[row_id]] )</f>
        <v>12</v>
      </c>
      <c r="C273" s="90" t="str">
        <f xml:space="preserve"> SUBSTITUTE( SUBSTITUTE( co_models[[#This Row],[model_label]], " ", "" ), "-", "" )</f>
        <v>150cm</v>
      </c>
      <c r="D273" s="45">
        <v>250</v>
      </c>
      <c r="E273" s="45" t="s">
        <v>160</v>
      </c>
      <c r="F273" s="87" t="s">
        <v>582</v>
      </c>
    </row>
    <row r="274" spans="1:21" x14ac:dyDescent="0.2">
      <c r="B274" s="4">
        <f xml:space="preserve"> ROW( co_models[[#This Row],[row_id]] ) - ROW( co_models[[#Headers],[row_id]] )</f>
        <v>13</v>
      </c>
      <c r="C274" s="90" t="str">
        <f xml:space="preserve"> SUBSTITUTE( SUBSTITUTE( co_models[[#This Row],[model_label]], " ", "" ), "-", "" )</f>
        <v>200cm</v>
      </c>
      <c r="D274" s="45">
        <v>250</v>
      </c>
      <c r="E274" s="45" t="s">
        <v>160</v>
      </c>
      <c r="F274" s="87" t="s">
        <v>583</v>
      </c>
    </row>
    <row r="275" spans="1:21" x14ac:dyDescent="0.2">
      <c r="B275" s="4">
        <f xml:space="preserve"> ROW( co_models[[#This Row],[row_id]] ) - ROW( co_models[[#Headers],[row_id]] )</f>
        <v>14</v>
      </c>
      <c r="C275" s="90" t="str">
        <f xml:space="preserve"> SUBSTITUTE( SUBSTITUTE( co_models[[#This Row],[model_label]], " ", "" ), "-", "" )</f>
        <v>250cm</v>
      </c>
      <c r="D275" s="45">
        <v>250</v>
      </c>
      <c r="E275" s="45" t="s">
        <v>160</v>
      </c>
      <c r="F275" s="87" t="s">
        <v>584</v>
      </c>
    </row>
    <row r="278" spans="1:21" ht="15" x14ac:dyDescent="0.25">
      <c r="A278" s="16"/>
      <c r="B278" s="17" t="s">
        <v>306</v>
      </c>
      <c r="C278" s="17"/>
      <c r="D278" s="17"/>
      <c r="E278" s="17"/>
      <c r="F278" s="17"/>
      <c r="G278" s="17"/>
      <c r="H278" s="17"/>
      <c r="I278" s="17"/>
      <c r="J278" s="17"/>
      <c r="K278" s="17"/>
      <c r="L278" s="17"/>
      <c r="M278" s="17"/>
      <c r="N278" s="17"/>
      <c r="O278" s="17"/>
      <c r="P278" s="17"/>
      <c r="Q278" s="17"/>
      <c r="R278" s="17"/>
      <c r="S278" s="17"/>
      <c r="T278" s="17"/>
      <c r="U278" s="17"/>
    </row>
    <row r="280" spans="1:21" x14ac:dyDescent="0.2">
      <c r="B280" s="29" t="s">
        <v>123</v>
      </c>
      <c r="C280" s="29" t="s">
        <v>307</v>
      </c>
      <c r="D280" s="29" t="s">
        <v>311</v>
      </c>
      <c r="E280" s="29" t="s">
        <v>316</v>
      </c>
      <c r="F280" s="31" t="s">
        <v>313</v>
      </c>
      <c r="G280" s="31" t="s">
        <v>321</v>
      </c>
      <c r="H280" s="31" t="s">
        <v>322</v>
      </c>
      <c r="I280" s="31" t="s">
        <v>324</v>
      </c>
      <c r="J280" s="31" t="s">
        <v>55</v>
      </c>
    </row>
    <row r="281" spans="1:21" x14ac:dyDescent="0.2">
      <c r="B281" s="4">
        <f xml:space="preserve"> ROW( co_inputInfo[[#This Row],[row_id]] ) - ROW( co_inputInfo[[#Headers],[row_id]] )</f>
        <v>1</v>
      </c>
      <c r="C281" s="7" t="s">
        <v>308</v>
      </c>
      <c r="D281" s="45" t="s">
        <v>228</v>
      </c>
      <c r="E281" s="45" t="s">
        <v>317</v>
      </c>
      <c r="F281" s="27" t="s">
        <v>234</v>
      </c>
      <c r="G281" s="27">
        <v>0</v>
      </c>
      <c r="H281" s="27"/>
      <c r="I281" s="27" t="s">
        <v>325</v>
      </c>
      <c r="J281" s="27">
        <v>0</v>
      </c>
    </row>
    <row r="282" spans="1:21" x14ac:dyDescent="0.2">
      <c r="B282" s="4">
        <f xml:space="preserve"> ROW( co_inputInfo[[#This Row],[row_id]] ) - ROW( co_inputInfo[[#Headers],[row_id]] )</f>
        <v>2</v>
      </c>
      <c r="C282" s="7" t="s">
        <v>160</v>
      </c>
      <c r="D282" s="45" t="s">
        <v>233</v>
      </c>
      <c r="E282" s="45" t="s">
        <v>318</v>
      </c>
      <c r="F282" s="27" t="s">
        <v>235</v>
      </c>
      <c r="G282" s="27">
        <v>0</v>
      </c>
      <c r="H282" s="27"/>
      <c r="I282" s="27" t="s">
        <v>326</v>
      </c>
      <c r="J282" s="27">
        <v>0</v>
      </c>
    </row>
    <row r="283" spans="1:21" x14ac:dyDescent="0.2">
      <c r="B283" s="4">
        <f xml:space="preserve"> ROW( co_inputInfo[[#This Row],[row_id]] ) - ROW( co_inputInfo[[#Headers],[row_id]] )</f>
        <v>3</v>
      </c>
      <c r="C283" s="7" t="s">
        <v>309</v>
      </c>
      <c r="D283" s="45" t="s">
        <v>312</v>
      </c>
      <c r="E283" s="45" t="s">
        <v>319</v>
      </c>
      <c r="F283" s="27" t="s">
        <v>314</v>
      </c>
      <c r="G283" s="27">
        <v>0</v>
      </c>
      <c r="H283" s="27" t="str">
        <f xml:space="preserve"> IF( ISNA( MATCH( co_inputInfo[[#This Row],[inputType]], co_modelTypes[inputName], 0 ) ), "", INDEX( co_modelTypes[modelMaxExtrap], MATCH( co_inputInfo[[#This Row],[inputType]], co_modelTypes[inputName], 0 ) ) )</f>
        <v/>
      </c>
      <c r="I283" s="27" t="s">
        <v>187</v>
      </c>
      <c r="J283" s="27">
        <v>0</v>
      </c>
    </row>
    <row r="284" spans="1:21" x14ac:dyDescent="0.2">
      <c r="B284" s="4">
        <f xml:space="preserve"> ROW( co_inputInfo[[#This Row],[row_id]] ) - ROW( co_inputInfo[[#Headers],[row_id]] )</f>
        <v>4</v>
      </c>
      <c r="C284" s="7" t="s">
        <v>310</v>
      </c>
      <c r="D284" s="45" t="s">
        <v>577</v>
      </c>
      <c r="E284" s="45" t="s">
        <v>320</v>
      </c>
      <c r="F284" s="27" t="s">
        <v>315</v>
      </c>
      <c r="G284" s="27">
        <v>0</v>
      </c>
      <c r="H284" s="27" t="str">
        <f xml:space="preserve"> IF( ISNA( MATCH( co_inputInfo[[#This Row],[inputType]], co_modelTypes[inputName], 0 ) ), "", INDEX( co_modelTypes[modelMaxExtrap], MATCH( co_inputInfo[[#This Row],[inputType]], co_modelTypes[inputName], 0 ) ) )</f>
        <v/>
      </c>
      <c r="I284" s="27" t="s">
        <v>310</v>
      </c>
      <c r="J284" s="27">
        <v>1</v>
      </c>
    </row>
    <row r="287" spans="1:21" ht="15" x14ac:dyDescent="0.25">
      <c r="A287" s="16"/>
      <c r="B287" s="17" t="s">
        <v>69</v>
      </c>
      <c r="C287" s="17"/>
      <c r="D287" s="17"/>
      <c r="E287" s="17"/>
      <c r="F287" s="17"/>
      <c r="G287" s="17"/>
      <c r="H287" s="17"/>
      <c r="I287" s="17"/>
      <c r="J287" s="17"/>
      <c r="K287" s="17"/>
      <c r="L287" s="17"/>
      <c r="M287" s="17"/>
      <c r="N287" s="17"/>
      <c r="O287" s="17"/>
      <c r="P287" s="17"/>
      <c r="Q287" s="17"/>
      <c r="R287" s="17"/>
      <c r="S287" s="17"/>
      <c r="T287" s="17"/>
      <c r="U287" s="17"/>
    </row>
    <row r="289" spans="1:21" x14ac:dyDescent="0.2">
      <c r="B289" s="44" t="s">
        <v>123</v>
      </c>
      <c r="C289" s="29" t="s">
        <v>70</v>
      </c>
      <c r="D289" s="30" t="s">
        <v>598</v>
      </c>
      <c r="E289" s="2"/>
    </row>
    <row r="290" spans="1:21" x14ac:dyDescent="0.2">
      <c r="B290" s="4">
        <f xml:space="preserve"> ROW( co_regions[[#This Row],[row_id]] ) - ROW( co_regions[[#Headers],[row_id]] )</f>
        <v>1</v>
      </c>
      <c r="C290" s="45" t="s">
        <v>6</v>
      </c>
      <c r="D290" s="30" t="str">
        <f xml:space="preserve"> SUBSTITUTE( co_regions[[#This Row],[region_label]], " ", "" )</f>
        <v>Midwest</v>
      </c>
      <c r="E290" s="2"/>
    </row>
    <row r="291" spans="1:21" x14ac:dyDescent="0.2">
      <c r="B291" s="4">
        <f xml:space="preserve"> ROW( co_regions[[#This Row],[row_id]] ) - ROW( co_regions[[#Headers],[row_id]] )</f>
        <v>2</v>
      </c>
      <c r="C291" s="45" t="s">
        <v>7</v>
      </c>
      <c r="D291" s="30" t="str">
        <f xml:space="preserve"> SUBSTITUTE( co_regions[[#This Row],[region_label]], " ", "" )</f>
        <v>Northeast</v>
      </c>
      <c r="E291" s="2"/>
    </row>
    <row r="292" spans="1:21" x14ac:dyDescent="0.2">
      <c r="B292" s="4">
        <f xml:space="preserve"> ROW( co_regions[[#This Row],[row_id]] ) - ROW( co_regions[[#Headers],[row_id]] )</f>
        <v>3</v>
      </c>
      <c r="C292" s="45" t="s">
        <v>8</v>
      </c>
      <c r="D292" s="30" t="str">
        <f xml:space="preserve"> SUBSTITUTE( co_regions[[#This Row],[region_label]], " ", "" )</f>
        <v>NorthernPlains</v>
      </c>
      <c r="E292" s="2"/>
    </row>
    <row r="293" spans="1:21" x14ac:dyDescent="0.2">
      <c r="B293" s="4">
        <f xml:space="preserve"> ROW( co_regions[[#This Row],[row_id]] ) - ROW( co_regions[[#Headers],[row_id]] )</f>
        <v>4</v>
      </c>
      <c r="C293" s="45" t="s">
        <v>9</v>
      </c>
      <c r="D293" s="30" t="str">
        <f xml:space="preserve"> SUBSTITUTE( co_regions[[#This Row],[region_label]], " ", "" )</f>
        <v>Northwest</v>
      </c>
      <c r="E293" s="2"/>
    </row>
    <row r="294" spans="1:21" x14ac:dyDescent="0.2">
      <c r="B294" s="4">
        <f xml:space="preserve"> ROW( co_regions[[#This Row],[row_id]] ) - ROW( co_regions[[#Headers],[row_id]] )</f>
        <v>5</v>
      </c>
      <c r="C294" s="45" t="s">
        <v>10</v>
      </c>
      <c r="D294" s="30" t="str">
        <f xml:space="preserve"> SUBSTITUTE( co_regions[[#This Row],[region_label]], " ", "" )</f>
        <v>Southeast</v>
      </c>
      <c r="E294" s="2"/>
    </row>
    <row r="295" spans="1:21" x14ac:dyDescent="0.2">
      <c r="B295" s="4">
        <f xml:space="preserve"> ROW( co_regions[[#This Row],[row_id]] ) - ROW( co_regions[[#Headers],[row_id]] )</f>
        <v>6</v>
      </c>
      <c r="C295" s="45" t="s">
        <v>11</v>
      </c>
      <c r="D295" s="30" t="str">
        <f xml:space="preserve"> SUBSTITUTE( co_regions[[#This Row],[region_label]], " ", "" )</f>
        <v>SouthernPlains</v>
      </c>
      <c r="E295" s="2"/>
    </row>
    <row r="296" spans="1:21" x14ac:dyDescent="0.2">
      <c r="B296" s="4">
        <f xml:space="preserve"> ROW( co_regions[[#This Row],[row_id]] ) - ROW( co_regions[[#Headers],[row_id]] )</f>
        <v>7</v>
      </c>
      <c r="C296" s="45" t="s">
        <v>12</v>
      </c>
      <c r="D296" s="30" t="str">
        <f xml:space="preserve"> SUBSTITUTE( co_regions[[#This Row],[region_label]], " ", "" )</f>
        <v>Southwest</v>
      </c>
      <c r="E296" s="2"/>
    </row>
    <row r="299" spans="1:21" ht="15" x14ac:dyDescent="0.25">
      <c r="A299" s="16"/>
      <c r="B299" s="17" t="s">
        <v>441</v>
      </c>
      <c r="C299" s="17"/>
      <c r="D299" s="17"/>
      <c r="E299" s="17"/>
      <c r="F299" s="17"/>
      <c r="G299" s="17"/>
      <c r="H299" s="17"/>
      <c r="I299" s="17"/>
      <c r="J299" s="17"/>
      <c r="K299" s="17"/>
      <c r="L299" s="17"/>
      <c r="M299" s="17"/>
      <c r="N299" s="17"/>
      <c r="O299" s="17"/>
      <c r="P299" s="17"/>
      <c r="Q299" s="17"/>
      <c r="R299" s="17"/>
      <c r="S299" s="17"/>
      <c r="T299" s="17"/>
      <c r="U299" s="17"/>
    </row>
    <row r="301" spans="1:21" x14ac:dyDescent="0.2">
      <c r="B301" s="2" t="s">
        <v>123</v>
      </c>
      <c r="C301" s="2" t="s">
        <v>442</v>
      </c>
      <c r="D301" s="2" t="s">
        <v>443</v>
      </c>
      <c r="E301" s="2" t="s">
        <v>55</v>
      </c>
      <c r="F301" s="9" t="s">
        <v>444</v>
      </c>
    </row>
    <row r="302" spans="1:21" x14ac:dyDescent="0.2">
      <c r="B302" s="2">
        <f xml:space="preserve"> ROW( co_states[[#This Row],[row_id]] ) - ROW( co_states[[#Headers],[row_id]] )</f>
        <v>1</v>
      </c>
      <c r="C302" s="83" t="s">
        <v>445</v>
      </c>
      <c r="D302" s="83" t="s">
        <v>446</v>
      </c>
      <c r="E302" s="83" t="s">
        <v>10</v>
      </c>
      <c r="F302" s="84">
        <v>1</v>
      </c>
    </row>
    <row r="303" spans="1:21" x14ac:dyDescent="0.2">
      <c r="B303" s="2">
        <f xml:space="preserve"> ROW( co_states[[#This Row],[row_id]] ) - ROW( co_states[[#Headers],[row_id]] )</f>
        <v>2</v>
      </c>
      <c r="C303" s="83" t="s">
        <v>447</v>
      </c>
      <c r="D303" s="83" t="s">
        <v>448</v>
      </c>
      <c r="E303" s="83" t="s">
        <v>12</v>
      </c>
      <c r="F303" s="84">
        <v>4</v>
      </c>
    </row>
    <row r="304" spans="1:21" x14ac:dyDescent="0.2">
      <c r="B304" s="2">
        <f xml:space="preserve"> ROW( co_states[[#This Row],[row_id]] ) - ROW( co_states[[#Headers],[row_id]] )</f>
        <v>3</v>
      </c>
      <c r="C304" s="83" t="s">
        <v>449</v>
      </c>
      <c r="D304" s="83" t="s">
        <v>450</v>
      </c>
      <c r="E304" s="83" t="s">
        <v>10</v>
      </c>
      <c r="F304" s="84">
        <v>5</v>
      </c>
    </row>
    <row r="305" spans="2:6" x14ac:dyDescent="0.2">
      <c r="B305" s="2">
        <f xml:space="preserve"> ROW( co_states[[#This Row],[row_id]] ) - ROW( co_states[[#Headers],[row_id]] )</f>
        <v>4</v>
      </c>
      <c r="C305" s="83" t="s">
        <v>451</v>
      </c>
      <c r="D305" s="83" t="s">
        <v>452</v>
      </c>
      <c r="E305" s="83" t="s">
        <v>12</v>
      </c>
      <c r="F305" s="84">
        <v>6</v>
      </c>
    </row>
    <row r="306" spans="2:6" x14ac:dyDescent="0.2">
      <c r="B306" s="2">
        <f xml:space="preserve"> ROW( co_states[[#This Row],[row_id]] ) - ROW( co_states[[#Headers],[row_id]] )</f>
        <v>5</v>
      </c>
      <c r="C306" s="83" t="s">
        <v>453</v>
      </c>
      <c r="D306" s="83" t="s">
        <v>454</v>
      </c>
      <c r="E306" s="83" t="s">
        <v>12</v>
      </c>
      <c r="F306" s="84">
        <v>8</v>
      </c>
    </row>
    <row r="307" spans="2:6" x14ac:dyDescent="0.2">
      <c r="B307" s="2">
        <f xml:space="preserve"> ROW( co_states[[#This Row],[row_id]] ) - ROW( co_states[[#Headers],[row_id]] )</f>
        <v>6</v>
      </c>
      <c r="C307" s="83" t="s">
        <v>455</v>
      </c>
      <c r="D307" s="83" t="s">
        <v>456</v>
      </c>
      <c r="E307" s="83" t="s">
        <v>7</v>
      </c>
      <c r="F307" s="84">
        <v>9</v>
      </c>
    </row>
    <row r="308" spans="2:6" x14ac:dyDescent="0.2">
      <c r="B308" s="2">
        <f xml:space="preserve"> ROW( co_states[[#This Row],[row_id]] ) - ROW( co_states[[#Headers],[row_id]] )</f>
        <v>7</v>
      </c>
      <c r="C308" s="83" t="s">
        <v>457</v>
      </c>
      <c r="D308" s="83" t="s">
        <v>458</v>
      </c>
      <c r="E308" s="83" t="s">
        <v>7</v>
      </c>
      <c r="F308" s="84">
        <v>10</v>
      </c>
    </row>
    <row r="309" spans="2:6" x14ac:dyDescent="0.2">
      <c r="B309" s="2">
        <f xml:space="preserve"> ROW( co_states[[#This Row],[row_id]] ) - ROW( co_states[[#Headers],[row_id]] )</f>
        <v>8</v>
      </c>
      <c r="C309" s="83" t="s">
        <v>459</v>
      </c>
      <c r="D309" s="83" t="s">
        <v>460</v>
      </c>
      <c r="E309" s="83" t="s">
        <v>7</v>
      </c>
      <c r="F309" s="84">
        <v>11</v>
      </c>
    </row>
    <row r="310" spans="2:6" x14ac:dyDescent="0.2">
      <c r="B310" s="2">
        <f xml:space="preserve"> ROW( co_states[[#This Row],[row_id]] ) - ROW( co_states[[#Headers],[row_id]] )</f>
        <v>9</v>
      </c>
      <c r="C310" s="83" t="s">
        <v>461</v>
      </c>
      <c r="D310" s="83" t="s">
        <v>462</v>
      </c>
      <c r="E310" s="83" t="s">
        <v>10</v>
      </c>
      <c r="F310" s="84">
        <v>12</v>
      </c>
    </row>
    <row r="311" spans="2:6" x14ac:dyDescent="0.2">
      <c r="B311" s="2">
        <f xml:space="preserve"> ROW( co_states[[#This Row],[row_id]] ) - ROW( co_states[[#Headers],[row_id]] )</f>
        <v>10</v>
      </c>
      <c r="C311" s="83" t="s">
        <v>463</v>
      </c>
      <c r="D311" s="83" t="s">
        <v>464</v>
      </c>
      <c r="E311" s="83" t="s">
        <v>10</v>
      </c>
      <c r="F311" s="84">
        <v>13</v>
      </c>
    </row>
    <row r="312" spans="2:6" x14ac:dyDescent="0.2">
      <c r="B312" s="2">
        <f xml:space="preserve"> ROW( co_states[[#This Row],[row_id]] ) - ROW( co_states[[#Headers],[row_id]] )</f>
        <v>11</v>
      </c>
      <c r="C312" s="83" t="s">
        <v>465</v>
      </c>
      <c r="D312" s="83" t="s">
        <v>47</v>
      </c>
      <c r="E312" s="83" t="s">
        <v>9</v>
      </c>
      <c r="F312" s="84">
        <v>16</v>
      </c>
    </row>
    <row r="313" spans="2:6" x14ac:dyDescent="0.2">
      <c r="B313" s="2">
        <f xml:space="preserve"> ROW( co_states[[#This Row],[row_id]] ) - ROW( co_states[[#Headers],[row_id]] )</f>
        <v>12</v>
      </c>
      <c r="C313" s="83" t="s">
        <v>466</v>
      </c>
      <c r="D313" s="83" t="s">
        <v>467</v>
      </c>
      <c r="E313" s="83" t="s">
        <v>6</v>
      </c>
      <c r="F313" s="84">
        <v>17</v>
      </c>
    </row>
    <row r="314" spans="2:6" x14ac:dyDescent="0.2">
      <c r="B314" s="2">
        <f xml:space="preserve"> ROW( co_states[[#This Row],[row_id]] ) - ROW( co_states[[#Headers],[row_id]] )</f>
        <v>13</v>
      </c>
      <c r="C314" s="83" t="s">
        <v>468</v>
      </c>
      <c r="D314" s="83" t="s">
        <v>469</v>
      </c>
      <c r="E314" s="83" t="s">
        <v>6</v>
      </c>
      <c r="F314" s="84">
        <v>18</v>
      </c>
    </row>
    <row r="315" spans="2:6" x14ac:dyDescent="0.2">
      <c r="B315" s="2">
        <f xml:space="preserve"> ROW( co_states[[#This Row],[row_id]] ) - ROW( co_states[[#Headers],[row_id]] )</f>
        <v>14</v>
      </c>
      <c r="C315" s="83" t="s">
        <v>470</v>
      </c>
      <c r="D315" s="83" t="s">
        <v>471</v>
      </c>
      <c r="E315" s="83" t="s">
        <v>6</v>
      </c>
      <c r="F315" s="84">
        <v>19</v>
      </c>
    </row>
    <row r="316" spans="2:6" x14ac:dyDescent="0.2">
      <c r="B316" s="2">
        <f xml:space="preserve"> ROW( co_states[[#This Row],[row_id]] ) - ROW( co_states[[#Headers],[row_id]] )</f>
        <v>15</v>
      </c>
      <c r="C316" s="83" t="s">
        <v>472</v>
      </c>
      <c r="D316" s="83" t="s">
        <v>473</v>
      </c>
      <c r="E316" s="83" t="s">
        <v>11</v>
      </c>
      <c r="F316" s="84">
        <v>20</v>
      </c>
    </row>
    <row r="317" spans="2:6" x14ac:dyDescent="0.2">
      <c r="B317" s="2">
        <f xml:space="preserve"> ROW( co_states[[#This Row],[row_id]] ) - ROW( co_states[[#Headers],[row_id]] )</f>
        <v>16</v>
      </c>
      <c r="C317" s="83" t="s">
        <v>474</v>
      </c>
      <c r="D317" s="83" t="s">
        <v>475</v>
      </c>
      <c r="E317" s="83" t="s">
        <v>10</v>
      </c>
      <c r="F317" s="84">
        <v>21</v>
      </c>
    </row>
    <row r="318" spans="2:6" x14ac:dyDescent="0.2">
      <c r="B318" s="2">
        <f xml:space="preserve"> ROW( co_states[[#This Row],[row_id]] ) - ROW( co_states[[#Headers],[row_id]] )</f>
        <v>17</v>
      </c>
      <c r="C318" s="83" t="s">
        <v>476</v>
      </c>
      <c r="D318" s="83" t="s">
        <v>477</v>
      </c>
      <c r="E318" s="83" t="s">
        <v>10</v>
      </c>
      <c r="F318" s="84">
        <v>22</v>
      </c>
    </row>
    <row r="319" spans="2:6" x14ac:dyDescent="0.2">
      <c r="B319" s="2">
        <f xml:space="preserve"> ROW( co_states[[#This Row],[row_id]] ) - ROW( co_states[[#Headers],[row_id]] )</f>
        <v>18</v>
      </c>
      <c r="C319" s="83" t="s">
        <v>478</v>
      </c>
      <c r="D319" s="83" t="s">
        <v>479</v>
      </c>
      <c r="E319" s="83" t="s">
        <v>7</v>
      </c>
      <c r="F319" s="84">
        <v>23</v>
      </c>
    </row>
    <row r="320" spans="2:6" x14ac:dyDescent="0.2">
      <c r="B320" s="2">
        <f xml:space="preserve"> ROW( co_states[[#This Row],[row_id]] ) - ROW( co_states[[#Headers],[row_id]] )</f>
        <v>19</v>
      </c>
      <c r="C320" s="83" t="s">
        <v>480</v>
      </c>
      <c r="D320" s="83" t="s">
        <v>481</v>
      </c>
      <c r="E320" s="83" t="s">
        <v>7</v>
      </c>
      <c r="F320" s="84">
        <v>24</v>
      </c>
    </row>
    <row r="321" spans="2:6" x14ac:dyDescent="0.2">
      <c r="B321" s="2">
        <f xml:space="preserve"> ROW( co_states[[#This Row],[row_id]] ) - ROW( co_states[[#Headers],[row_id]] )</f>
        <v>20</v>
      </c>
      <c r="C321" s="83" t="s">
        <v>482</v>
      </c>
      <c r="D321" s="83" t="s">
        <v>483</v>
      </c>
      <c r="E321" s="83" t="s">
        <v>7</v>
      </c>
      <c r="F321" s="84">
        <v>25</v>
      </c>
    </row>
    <row r="322" spans="2:6" x14ac:dyDescent="0.2">
      <c r="B322" s="2">
        <f xml:space="preserve"> ROW( co_states[[#This Row],[row_id]] ) - ROW( co_states[[#Headers],[row_id]] )</f>
        <v>21</v>
      </c>
      <c r="C322" s="83" t="s">
        <v>484</v>
      </c>
      <c r="D322" s="83" t="s">
        <v>485</v>
      </c>
      <c r="E322" s="83" t="s">
        <v>6</v>
      </c>
      <c r="F322" s="84">
        <v>26</v>
      </c>
    </row>
    <row r="323" spans="2:6" x14ac:dyDescent="0.2">
      <c r="B323" s="2">
        <f xml:space="preserve"> ROW( co_states[[#This Row],[row_id]] ) - ROW( co_states[[#Headers],[row_id]] )</f>
        <v>22</v>
      </c>
      <c r="C323" s="83" t="s">
        <v>486</v>
      </c>
      <c r="D323" s="83" t="s">
        <v>487</v>
      </c>
      <c r="E323" s="83" t="s">
        <v>6</v>
      </c>
      <c r="F323" s="84">
        <v>27</v>
      </c>
    </row>
    <row r="324" spans="2:6" x14ac:dyDescent="0.2">
      <c r="B324" s="2">
        <f xml:space="preserve"> ROW( co_states[[#This Row],[row_id]] ) - ROW( co_states[[#Headers],[row_id]] )</f>
        <v>23</v>
      </c>
      <c r="C324" s="83" t="s">
        <v>488</v>
      </c>
      <c r="D324" s="83" t="s">
        <v>489</v>
      </c>
      <c r="E324" s="83" t="s">
        <v>10</v>
      </c>
      <c r="F324" s="84">
        <v>28</v>
      </c>
    </row>
    <row r="325" spans="2:6" x14ac:dyDescent="0.2">
      <c r="B325" s="2">
        <f xml:space="preserve"> ROW( co_states[[#This Row],[row_id]] ) - ROW( co_states[[#Headers],[row_id]] )</f>
        <v>24</v>
      </c>
      <c r="C325" s="83" t="s">
        <v>490</v>
      </c>
      <c r="D325" s="83" t="s">
        <v>491</v>
      </c>
      <c r="E325" s="83" t="s">
        <v>6</v>
      </c>
      <c r="F325" s="84">
        <v>29</v>
      </c>
    </row>
    <row r="326" spans="2:6" x14ac:dyDescent="0.2">
      <c r="B326" s="2">
        <f xml:space="preserve"> ROW( co_states[[#This Row],[row_id]] ) - ROW( co_states[[#Headers],[row_id]] )</f>
        <v>25</v>
      </c>
      <c r="C326" s="83" t="s">
        <v>492</v>
      </c>
      <c r="D326" s="83" t="s">
        <v>493</v>
      </c>
      <c r="E326" s="83" t="s">
        <v>8</v>
      </c>
      <c r="F326" s="84">
        <v>30</v>
      </c>
    </row>
    <row r="327" spans="2:6" x14ac:dyDescent="0.2">
      <c r="B327" s="2">
        <f xml:space="preserve"> ROW( co_states[[#This Row],[row_id]] ) - ROW( co_states[[#Headers],[row_id]] )</f>
        <v>26</v>
      </c>
      <c r="C327" s="83" t="s">
        <v>494</v>
      </c>
      <c r="D327" s="83" t="s">
        <v>495</v>
      </c>
      <c r="E327" s="83" t="s">
        <v>8</v>
      </c>
      <c r="F327" s="84">
        <v>31</v>
      </c>
    </row>
    <row r="328" spans="2:6" x14ac:dyDescent="0.2">
      <c r="B328" s="2">
        <f xml:space="preserve"> ROW( co_states[[#This Row],[row_id]] ) - ROW( co_states[[#Headers],[row_id]] )</f>
        <v>27</v>
      </c>
      <c r="C328" s="83" t="s">
        <v>496</v>
      </c>
      <c r="D328" s="83" t="s">
        <v>497</v>
      </c>
      <c r="E328" s="83" t="s">
        <v>12</v>
      </c>
      <c r="F328" s="84">
        <v>32</v>
      </c>
    </row>
    <row r="329" spans="2:6" x14ac:dyDescent="0.2">
      <c r="B329" s="2">
        <f xml:space="preserve"> ROW( co_states[[#This Row],[row_id]] ) - ROW( co_states[[#Headers],[row_id]] )</f>
        <v>28</v>
      </c>
      <c r="C329" s="83" t="s">
        <v>498</v>
      </c>
      <c r="D329" s="83" t="s">
        <v>499</v>
      </c>
      <c r="E329" s="83" t="s">
        <v>7</v>
      </c>
      <c r="F329" s="84">
        <v>33</v>
      </c>
    </row>
    <row r="330" spans="2:6" x14ac:dyDescent="0.2">
      <c r="B330" s="2">
        <f xml:space="preserve"> ROW( co_states[[#This Row],[row_id]] ) - ROW( co_states[[#Headers],[row_id]] )</f>
        <v>29</v>
      </c>
      <c r="C330" s="83" t="s">
        <v>500</v>
      </c>
      <c r="D330" s="83" t="s">
        <v>501</v>
      </c>
      <c r="E330" s="83" t="s">
        <v>7</v>
      </c>
      <c r="F330" s="84">
        <v>34</v>
      </c>
    </row>
    <row r="331" spans="2:6" x14ac:dyDescent="0.2">
      <c r="B331" s="2">
        <f xml:space="preserve"> ROW( co_states[[#This Row],[row_id]] ) - ROW( co_states[[#Headers],[row_id]] )</f>
        <v>30</v>
      </c>
      <c r="C331" s="83" t="s">
        <v>502</v>
      </c>
      <c r="D331" s="83" t="s">
        <v>503</v>
      </c>
      <c r="E331" s="83" t="s">
        <v>12</v>
      </c>
      <c r="F331" s="84">
        <v>35</v>
      </c>
    </row>
    <row r="332" spans="2:6" x14ac:dyDescent="0.2">
      <c r="B332" s="2">
        <f xml:space="preserve"> ROW( co_states[[#This Row],[row_id]] ) - ROW( co_states[[#Headers],[row_id]] )</f>
        <v>31</v>
      </c>
      <c r="C332" s="83" t="s">
        <v>504</v>
      </c>
      <c r="D332" s="83" t="s">
        <v>505</v>
      </c>
      <c r="E332" s="83" t="s">
        <v>7</v>
      </c>
      <c r="F332" s="84">
        <v>36</v>
      </c>
    </row>
    <row r="333" spans="2:6" x14ac:dyDescent="0.2">
      <c r="B333" s="2">
        <f xml:space="preserve"> ROW( co_states[[#This Row],[row_id]] ) - ROW( co_states[[#Headers],[row_id]] )</f>
        <v>32</v>
      </c>
      <c r="C333" s="83" t="s">
        <v>506</v>
      </c>
      <c r="D333" s="83" t="s">
        <v>507</v>
      </c>
      <c r="E333" s="83" t="s">
        <v>10</v>
      </c>
      <c r="F333" s="84">
        <v>37</v>
      </c>
    </row>
    <row r="334" spans="2:6" x14ac:dyDescent="0.2">
      <c r="B334" s="2">
        <f xml:space="preserve"> ROW( co_states[[#This Row],[row_id]] ) - ROW( co_states[[#Headers],[row_id]] )</f>
        <v>33</v>
      </c>
      <c r="C334" s="83" t="s">
        <v>508</v>
      </c>
      <c r="D334" s="83" t="s">
        <v>509</v>
      </c>
      <c r="E334" s="83" t="s">
        <v>8</v>
      </c>
      <c r="F334" s="84">
        <v>38</v>
      </c>
    </row>
    <row r="335" spans="2:6" x14ac:dyDescent="0.2">
      <c r="B335" s="2">
        <f xml:space="preserve"> ROW( co_states[[#This Row],[row_id]] ) - ROW( co_states[[#Headers],[row_id]] )</f>
        <v>34</v>
      </c>
      <c r="C335" s="83" t="s">
        <v>510</v>
      </c>
      <c r="D335" s="83" t="s">
        <v>511</v>
      </c>
      <c r="E335" s="83" t="s">
        <v>6</v>
      </c>
      <c r="F335" s="84">
        <v>39</v>
      </c>
    </row>
    <row r="336" spans="2:6" x14ac:dyDescent="0.2">
      <c r="B336" s="2">
        <f xml:space="preserve"> ROW( co_states[[#This Row],[row_id]] ) - ROW( co_states[[#Headers],[row_id]] )</f>
        <v>35</v>
      </c>
      <c r="C336" s="83" t="s">
        <v>512</v>
      </c>
      <c r="D336" s="83" t="s">
        <v>513</v>
      </c>
      <c r="E336" s="83" t="s">
        <v>11</v>
      </c>
      <c r="F336" s="84">
        <v>40</v>
      </c>
    </row>
    <row r="337" spans="2:6" x14ac:dyDescent="0.2">
      <c r="B337" s="2">
        <f xml:space="preserve"> ROW( co_states[[#This Row],[row_id]] ) - ROW( co_states[[#Headers],[row_id]] )</f>
        <v>36</v>
      </c>
      <c r="C337" s="83" t="s">
        <v>514</v>
      </c>
      <c r="D337" s="83" t="s">
        <v>515</v>
      </c>
      <c r="E337" s="83" t="s">
        <v>9</v>
      </c>
      <c r="F337" s="84">
        <v>41</v>
      </c>
    </row>
    <row r="338" spans="2:6" x14ac:dyDescent="0.2">
      <c r="B338" s="2">
        <f xml:space="preserve"> ROW( co_states[[#This Row],[row_id]] ) - ROW( co_states[[#Headers],[row_id]] )</f>
        <v>37</v>
      </c>
      <c r="C338" s="83" t="s">
        <v>516</v>
      </c>
      <c r="D338" s="83" t="s">
        <v>517</v>
      </c>
      <c r="E338" s="83" t="s">
        <v>7</v>
      </c>
      <c r="F338" s="84">
        <v>42</v>
      </c>
    </row>
    <row r="339" spans="2:6" x14ac:dyDescent="0.2">
      <c r="B339" s="2">
        <f xml:space="preserve"> ROW( co_states[[#This Row],[row_id]] ) - ROW( co_states[[#Headers],[row_id]] )</f>
        <v>38</v>
      </c>
      <c r="C339" s="83" t="s">
        <v>518</v>
      </c>
      <c r="D339" s="83" t="s">
        <v>519</v>
      </c>
      <c r="E339" s="83" t="s">
        <v>7</v>
      </c>
      <c r="F339" s="84">
        <v>44</v>
      </c>
    </row>
    <row r="340" spans="2:6" x14ac:dyDescent="0.2">
      <c r="B340" s="2">
        <f xml:space="preserve"> ROW( co_states[[#This Row],[row_id]] ) - ROW( co_states[[#Headers],[row_id]] )</f>
        <v>39</v>
      </c>
      <c r="C340" s="83" t="s">
        <v>520</v>
      </c>
      <c r="D340" s="83" t="s">
        <v>521</v>
      </c>
      <c r="E340" s="83" t="s">
        <v>10</v>
      </c>
      <c r="F340" s="84">
        <v>45</v>
      </c>
    </row>
    <row r="341" spans="2:6" x14ac:dyDescent="0.2">
      <c r="B341" s="2">
        <f xml:space="preserve"> ROW( co_states[[#This Row],[row_id]] ) - ROW( co_states[[#Headers],[row_id]] )</f>
        <v>40</v>
      </c>
      <c r="C341" s="83" t="s">
        <v>522</v>
      </c>
      <c r="D341" s="83" t="s">
        <v>523</v>
      </c>
      <c r="E341" s="83" t="s">
        <v>8</v>
      </c>
      <c r="F341" s="84">
        <v>46</v>
      </c>
    </row>
    <row r="342" spans="2:6" x14ac:dyDescent="0.2">
      <c r="B342" s="2">
        <f xml:space="preserve"> ROW( co_states[[#This Row],[row_id]] ) - ROW( co_states[[#Headers],[row_id]] )</f>
        <v>41</v>
      </c>
      <c r="C342" s="83" t="s">
        <v>524</v>
      </c>
      <c r="D342" s="83" t="s">
        <v>525</v>
      </c>
      <c r="E342" s="83" t="s">
        <v>10</v>
      </c>
      <c r="F342" s="84">
        <v>47</v>
      </c>
    </row>
    <row r="343" spans="2:6" x14ac:dyDescent="0.2">
      <c r="B343" s="2">
        <f xml:space="preserve"> ROW( co_states[[#This Row],[row_id]] ) - ROW( co_states[[#Headers],[row_id]] )</f>
        <v>42</v>
      </c>
      <c r="C343" s="83" t="s">
        <v>526</v>
      </c>
      <c r="D343" s="83" t="s">
        <v>527</v>
      </c>
      <c r="E343" s="83" t="s">
        <v>11</v>
      </c>
      <c r="F343" s="84">
        <v>48</v>
      </c>
    </row>
    <row r="344" spans="2:6" x14ac:dyDescent="0.2">
      <c r="B344" s="2">
        <f xml:space="preserve"> ROW( co_states[[#This Row],[row_id]] ) - ROW( co_states[[#Headers],[row_id]] )</f>
        <v>43</v>
      </c>
      <c r="C344" s="83" t="s">
        <v>528</v>
      </c>
      <c r="D344" s="83" t="s">
        <v>529</v>
      </c>
      <c r="E344" s="83" t="s">
        <v>12</v>
      </c>
      <c r="F344" s="84">
        <v>49</v>
      </c>
    </row>
    <row r="345" spans="2:6" x14ac:dyDescent="0.2">
      <c r="B345" s="2">
        <f xml:space="preserve"> ROW( co_states[[#This Row],[row_id]] ) - ROW( co_states[[#Headers],[row_id]] )</f>
        <v>44</v>
      </c>
      <c r="C345" s="83" t="s">
        <v>530</v>
      </c>
      <c r="D345" s="83" t="s">
        <v>531</v>
      </c>
      <c r="E345" s="83" t="s">
        <v>7</v>
      </c>
      <c r="F345" s="84">
        <v>50</v>
      </c>
    </row>
    <row r="346" spans="2:6" x14ac:dyDescent="0.2">
      <c r="B346" s="2">
        <f xml:space="preserve"> ROW( co_states[[#This Row],[row_id]] ) - ROW( co_states[[#Headers],[row_id]] )</f>
        <v>45</v>
      </c>
      <c r="C346" s="83" t="s">
        <v>532</v>
      </c>
      <c r="D346" s="83" t="s">
        <v>533</v>
      </c>
      <c r="E346" s="83" t="s">
        <v>10</v>
      </c>
      <c r="F346" s="84">
        <v>51</v>
      </c>
    </row>
    <row r="347" spans="2:6" x14ac:dyDescent="0.2">
      <c r="B347" s="2">
        <f xml:space="preserve"> ROW( co_states[[#This Row],[row_id]] ) - ROW( co_states[[#Headers],[row_id]] )</f>
        <v>46</v>
      </c>
      <c r="C347" s="83" t="s">
        <v>534</v>
      </c>
      <c r="D347" s="83" t="s">
        <v>535</v>
      </c>
      <c r="E347" s="83" t="s">
        <v>9</v>
      </c>
      <c r="F347" s="84">
        <v>53</v>
      </c>
    </row>
    <row r="348" spans="2:6" x14ac:dyDescent="0.2">
      <c r="B348" s="2">
        <f xml:space="preserve"> ROW( co_states[[#This Row],[row_id]] ) - ROW( co_states[[#Headers],[row_id]] )</f>
        <v>47</v>
      </c>
      <c r="C348" s="83" t="s">
        <v>536</v>
      </c>
      <c r="D348" s="83" t="s">
        <v>537</v>
      </c>
      <c r="E348" s="83" t="s">
        <v>7</v>
      </c>
      <c r="F348" s="84">
        <v>54</v>
      </c>
    </row>
    <row r="349" spans="2:6" x14ac:dyDescent="0.2">
      <c r="B349" s="2">
        <f xml:space="preserve"> ROW( co_states[[#This Row],[row_id]] ) - ROW( co_states[[#Headers],[row_id]] )</f>
        <v>48</v>
      </c>
      <c r="C349" s="83" t="s">
        <v>538</v>
      </c>
      <c r="D349" s="83" t="s">
        <v>539</v>
      </c>
      <c r="E349" s="83" t="s">
        <v>6</v>
      </c>
      <c r="F349" s="84">
        <v>55</v>
      </c>
    </row>
    <row r="350" spans="2:6" x14ac:dyDescent="0.2">
      <c r="B350" s="2">
        <f xml:space="preserve"> ROW( co_states[[#This Row],[row_id]] ) - ROW( co_states[[#Headers],[row_id]] )</f>
        <v>49</v>
      </c>
      <c r="C350" s="83" t="s">
        <v>540</v>
      </c>
      <c r="D350" s="83" t="s">
        <v>541</v>
      </c>
      <c r="E350" s="83" t="s">
        <v>8</v>
      </c>
      <c r="F350" s="84">
        <v>56</v>
      </c>
    </row>
  </sheetData>
  <phoneticPr fontId="8" type="noConversion"/>
  <conditionalFormatting sqref="B37 B38:F47">
    <cfRule type="expression" dxfId="3" priority="7">
      <formula xml:space="preserve"> IF( $E37 = 1, 1, 0)</formula>
    </cfRule>
  </conditionalFormatting>
  <conditionalFormatting sqref="B21:F36">
    <cfRule type="expression" dxfId="2" priority="2">
      <formula xml:space="preserve"> IF( $E21 = 1, 1, 0)</formula>
    </cfRule>
  </conditionalFormatting>
  <conditionalFormatting sqref="C37:F37">
    <cfRule type="expression" dxfId="1" priority="1">
      <formula xml:space="preserve"> IF( $E37 = 1, 1, 0)</formula>
    </cfRule>
  </conditionalFormatting>
  <conditionalFormatting sqref="I142:J142">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2" t="s">
        <v>123</v>
      </c>
      <c r="C3" s="62" t="s">
        <v>56</v>
      </c>
      <c r="D3" s="62" t="s">
        <v>345</v>
      </c>
      <c r="E3" s="62" t="s">
        <v>346</v>
      </c>
      <c r="F3" s="62" t="s">
        <v>330</v>
      </c>
    </row>
    <row r="4" spans="2:6" ht="75" x14ac:dyDescent="0.25">
      <c r="B4" s="63">
        <f xml:space="preserve"> ROW( Readme_sectors[[#This Row],[row_id]] ) - ROW( Readme_sectors[[#Headers],[row_id]] )</f>
        <v>1</v>
      </c>
      <c r="C4" s="62" t="s">
        <v>21</v>
      </c>
      <c r="D4" s="62" t="s">
        <v>22</v>
      </c>
      <c r="E4" s="62" t="s">
        <v>119</v>
      </c>
      <c r="F4" s="64" t="s">
        <v>347</v>
      </c>
    </row>
    <row r="5" spans="2:6" ht="45" x14ac:dyDescent="0.25">
      <c r="B5" s="63">
        <f xml:space="preserve"> ROW( Readme_sectors[[#This Row],[row_id]] ) - ROW( Readme_sectors[[#Headers],[row_id]] )</f>
        <v>2</v>
      </c>
      <c r="C5" s="63" t="s">
        <v>58</v>
      </c>
      <c r="D5" s="62" t="s">
        <v>22</v>
      </c>
      <c r="E5" s="62" t="s">
        <v>119</v>
      </c>
      <c r="F5" s="64"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8" t="s">
        <v>398</v>
      </c>
    </row>
    <row r="5" spans="1:5" ht="45" x14ac:dyDescent="0.25">
      <c r="B5" s="4">
        <f xml:space="preserve"> ROW( testDev[[#This Row],[row_id]] ) - ROW(testDev[[#Headers],[row_id]] )</f>
        <v>2</v>
      </c>
      <c r="C5" s="7" t="s">
        <v>175</v>
      </c>
      <c r="D5" s="27" t="s">
        <v>399</v>
      </c>
      <c r="E5" s="48" t="s">
        <v>400</v>
      </c>
    </row>
    <row r="6" spans="1:5" ht="45" x14ac:dyDescent="0.25">
      <c r="B6" s="4">
        <f xml:space="preserve"> ROW( testDev[[#This Row],[row_id]] ) - ROW(testDev[[#Headers],[row_id]] )</f>
        <v>3</v>
      </c>
      <c r="C6" s="7" t="s">
        <v>189</v>
      </c>
      <c r="D6" s="27" t="s">
        <v>397</v>
      </c>
      <c r="E6" s="48" t="s">
        <v>401</v>
      </c>
    </row>
    <row r="7" spans="1:5" x14ac:dyDescent="0.25">
      <c r="B7" s="4">
        <f xml:space="preserve"> ROW( testDev[[#This Row],[row_id]] ) - ROW(testDev[[#Headers],[row_id]] )</f>
        <v>4</v>
      </c>
      <c r="C7" s="7" t="s">
        <v>168</v>
      </c>
      <c r="D7" s="27" t="s">
        <v>402</v>
      </c>
      <c r="E7" s="48" t="s">
        <v>403</v>
      </c>
    </row>
    <row r="8" spans="1:5" x14ac:dyDescent="0.25">
      <c r="B8" s="4">
        <f xml:space="preserve"> ROW( testDev[[#This Row],[row_id]] ) - ROW(testDev[[#Headers],[row_id]] )</f>
        <v>5</v>
      </c>
      <c r="C8" s="7" t="s">
        <v>350</v>
      </c>
      <c r="D8" s="27" t="s">
        <v>402</v>
      </c>
      <c r="E8" s="48" t="s">
        <v>403</v>
      </c>
    </row>
    <row r="9" spans="1:5" ht="22.5" x14ac:dyDescent="0.25">
      <c r="B9" s="4">
        <f xml:space="preserve"> ROW( testDev[[#This Row],[row_id]] ) - ROW(testDev[[#Headers],[row_id]] )</f>
        <v>6</v>
      </c>
      <c r="C9" s="7" t="s">
        <v>377</v>
      </c>
      <c r="D9" s="27" t="s">
        <v>397</v>
      </c>
      <c r="E9" s="48" t="s">
        <v>404</v>
      </c>
    </row>
    <row r="10" spans="1:5" x14ac:dyDescent="0.25">
      <c r="B10" s="4">
        <f xml:space="preserve"> ROW( testDev[[#This Row],[row_id]] ) - ROW(testDev[[#Headers],[row_id]] )</f>
        <v>7</v>
      </c>
      <c r="C10" s="7" t="s">
        <v>176</v>
      </c>
      <c r="D10" s="27" t="s">
        <v>397</v>
      </c>
      <c r="E10" s="48" t="s">
        <v>405</v>
      </c>
    </row>
    <row r="11" spans="1:5" ht="22.5" x14ac:dyDescent="0.25">
      <c r="B11" s="4">
        <f xml:space="preserve"> ROW( testDev[[#This Row],[row_id]] ) - ROW(testDev[[#Headers],[row_id]] )</f>
        <v>8</v>
      </c>
      <c r="C11" s="7" t="s">
        <v>177</v>
      </c>
      <c r="D11" s="27" t="s">
        <v>397</v>
      </c>
      <c r="E11" s="48" t="s">
        <v>406</v>
      </c>
    </row>
    <row r="12" spans="1:5" ht="33.75" x14ac:dyDescent="0.25">
      <c r="B12" s="4">
        <f xml:space="preserve"> ROW( testDev[[#This Row],[row_id]] ) - ROW(testDev[[#Headers],[row_id]] )</f>
        <v>9</v>
      </c>
      <c r="C12" s="7" t="s">
        <v>178</v>
      </c>
      <c r="D12" s="27" t="s">
        <v>399</v>
      </c>
      <c r="E12" s="48" t="s">
        <v>407</v>
      </c>
    </row>
    <row r="13" spans="1:5" x14ac:dyDescent="0.25">
      <c r="B13" s="4">
        <f xml:space="preserve"> ROW( testDev[[#This Row],[row_id]] ) - ROW(testDev[[#Headers],[row_id]] )</f>
        <v>10</v>
      </c>
      <c r="C13" s="7" t="s">
        <v>78</v>
      </c>
      <c r="D13" s="27" t="s">
        <v>402</v>
      </c>
      <c r="E13" s="48" t="s">
        <v>403</v>
      </c>
    </row>
    <row r="14" spans="1:5" x14ac:dyDescent="0.25">
      <c r="B14" s="4">
        <f xml:space="preserve"> ROW( testDev[[#This Row],[row_id]] ) - ROW(testDev[[#Headers],[row_id]] )</f>
        <v>11</v>
      </c>
      <c r="C14" s="7" t="s">
        <v>240</v>
      </c>
      <c r="D14" s="27" t="s">
        <v>399</v>
      </c>
      <c r="E14" s="48" t="s">
        <v>408</v>
      </c>
    </row>
    <row r="15" spans="1:5" ht="22.5" x14ac:dyDescent="0.25">
      <c r="B15" s="4">
        <f xml:space="preserve"> ROW( testDev[[#This Row],[row_id]] ) - ROW(testDev[[#Headers],[row_id]] )</f>
        <v>12</v>
      </c>
      <c r="C15" s="7" t="s">
        <v>199</v>
      </c>
      <c r="D15" s="27" t="s">
        <v>402</v>
      </c>
      <c r="E15" s="48" t="s">
        <v>409</v>
      </c>
    </row>
    <row r="16" spans="1:5" x14ac:dyDescent="0.25">
      <c r="B16" s="4">
        <f xml:space="preserve"> ROW( testDev[[#This Row],[row_id]] ) - ROW(testDev[[#Headers],[row_id]] )</f>
        <v>13</v>
      </c>
      <c r="C16" s="7" t="s">
        <v>241</v>
      </c>
      <c r="D16" s="27" t="s">
        <v>402</v>
      </c>
      <c r="E16" s="48" t="s">
        <v>410</v>
      </c>
    </row>
    <row r="17" spans="2:5" x14ac:dyDescent="0.25">
      <c r="B17" s="4">
        <f xml:space="preserve"> ROW( testDev[[#This Row],[row_id]] ) - ROW(testDev[[#Headers],[row_id]] )</f>
        <v>14</v>
      </c>
      <c r="C17" s="7" t="s">
        <v>327</v>
      </c>
      <c r="D17" s="27" t="s">
        <v>402</v>
      </c>
      <c r="E17" s="48" t="s">
        <v>403</v>
      </c>
    </row>
    <row r="18" spans="2:5" x14ac:dyDescent="0.25">
      <c r="B18" s="4">
        <f xml:space="preserve"> ROW( testDev[[#This Row],[row_id]] ) - ROW(testDev[[#Headers],[row_id]] )</f>
        <v>15</v>
      </c>
      <c r="C18" s="7" t="s">
        <v>326</v>
      </c>
      <c r="D18" s="27" t="s">
        <v>402</v>
      </c>
      <c r="E18" s="48" t="s">
        <v>411</v>
      </c>
    </row>
    <row r="19" spans="2:5" ht="45" x14ac:dyDescent="0.25">
      <c r="B19" s="4">
        <f xml:space="preserve"> ROW( testDev[[#This Row],[row_id]] ) - ROW(testDev[[#Headers],[row_id]] )</f>
        <v>16</v>
      </c>
      <c r="C19" s="7" t="s">
        <v>351</v>
      </c>
      <c r="D19" s="27" t="s">
        <v>399</v>
      </c>
      <c r="E19" s="48" t="s">
        <v>412</v>
      </c>
    </row>
    <row r="20" spans="2:5" x14ac:dyDescent="0.25">
      <c r="B20" s="4">
        <f xml:space="preserve"> ROW( testDev[[#This Row],[row_id]] ) - ROW(testDev[[#Headers],[row_id]] )</f>
        <v>17</v>
      </c>
      <c r="C20" s="7" t="s">
        <v>413</v>
      </c>
      <c r="D20" s="27" t="s">
        <v>397</v>
      </c>
      <c r="E20" s="48" t="s">
        <v>414</v>
      </c>
    </row>
    <row r="21" spans="2:5" ht="22.5" x14ac:dyDescent="0.25">
      <c r="B21" s="4">
        <f xml:space="preserve"> ROW( testDev[[#This Row],[row_id]] ) - ROW(testDev[[#Headers],[row_id]] )</f>
        <v>18</v>
      </c>
      <c r="C21" s="7" t="s">
        <v>415</v>
      </c>
      <c r="D21" s="27" t="s">
        <v>402</v>
      </c>
      <c r="E21" s="48" t="s">
        <v>416</v>
      </c>
    </row>
    <row r="22" spans="2:5" x14ac:dyDescent="0.25">
      <c r="B22" s="4">
        <f xml:space="preserve"> ROW( testDev[[#This Row],[row_id]] ) - ROW(testDev[[#Headers],[row_id]] )</f>
        <v>19</v>
      </c>
      <c r="C22" s="7" t="s">
        <v>417</v>
      </c>
      <c r="D22" s="27" t="s">
        <v>397</v>
      </c>
      <c r="E22" s="48" t="s">
        <v>418</v>
      </c>
    </row>
    <row r="23" spans="2:5" x14ac:dyDescent="0.25">
      <c r="B23" s="4">
        <f xml:space="preserve"> ROW( testDev[[#This Row],[row_id]] ) - ROW(testDev[[#Headers],[row_id]] )</f>
        <v>20</v>
      </c>
      <c r="C23" s="7" t="s">
        <v>419</v>
      </c>
      <c r="D23" s="27" t="s">
        <v>402</v>
      </c>
      <c r="E23" s="48" t="s">
        <v>403</v>
      </c>
    </row>
    <row r="24" spans="2:5" x14ac:dyDescent="0.25">
      <c r="B24" s="4">
        <f xml:space="preserve"> ROW( testDev[[#This Row],[row_id]] ) - ROW(testDev[[#Headers],[row_id]] )</f>
        <v>21</v>
      </c>
      <c r="C24" s="7" t="s">
        <v>420</v>
      </c>
      <c r="D24" s="27" t="s">
        <v>402</v>
      </c>
      <c r="E24" s="48" t="s">
        <v>403</v>
      </c>
    </row>
    <row r="25" spans="2:5" x14ac:dyDescent="0.25">
      <c r="B25" s="4">
        <f xml:space="preserve"> ROW( testDev[[#This Row],[row_id]] ) - ROW(testDev[[#Headers],[row_id]] )</f>
        <v>22</v>
      </c>
      <c r="C25" s="7" t="s">
        <v>421</v>
      </c>
      <c r="D25" s="27" t="s">
        <v>402</v>
      </c>
      <c r="E25" s="48" t="s">
        <v>403</v>
      </c>
    </row>
    <row r="26" spans="2:5" x14ac:dyDescent="0.25">
      <c r="B26" s="4">
        <f xml:space="preserve"> ROW( testDev[[#This Row],[row_id]] ) - ROW(testDev[[#Headers],[row_id]] )</f>
        <v>23</v>
      </c>
      <c r="C26" s="7" t="s">
        <v>422</v>
      </c>
      <c r="D26" s="27" t="s">
        <v>402</v>
      </c>
      <c r="E26" s="48" t="s">
        <v>403</v>
      </c>
    </row>
    <row r="27" spans="2:5" ht="45" x14ac:dyDescent="0.25">
      <c r="B27" s="4">
        <f xml:space="preserve"> ROW( testDev[[#This Row],[row_id]] ) - ROW(testDev[[#Headers],[row_id]] )</f>
        <v>24</v>
      </c>
      <c r="C27" s="7" t="s">
        <v>423</v>
      </c>
      <c r="D27" s="27" t="s">
        <v>399</v>
      </c>
      <c r="E27" s="48" t="s">
        <v>424</v>
      </c>
    </row>
    <row r="28" spans="2:5" ht="22.5" x14ac:dyDescent="0.25">
      <c r="B28" s="4">
        <f xml:space="preserve"> ROW( testDev[[#This Row],[row_id]] ) - ROW(testDev[[#Headers],[row_id]] )</f>
        <v>25</v>
      </c>
      <c r="C28" s="7" t="s">
        <v>425</v>
      </c>
      <c r="D28" s="27" t="s">
        <v>397</v>
      </c>
      <c r="E28" s="48"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2024-12-10T20:59:22Z</dcterms:modified>
</cp:coreProperties>
</file>