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updateLinks="never" codeName="ThisWorkbook" defaultThemeVersion="166925"/>
  <xr:revisionPtr revIDLastSave="0" documentId="13_ncr:1_{807D596E-9675-4EDE-BF93-A23DB488E35D}" xr6:coauthVersionLast="47" xr6:coauthVersionMax="47" xr10:uidLastSave="{00000000-0000-0000-0000-000000000000}"/>
  <bookViews>
    <workbookView xWindow="-110" yWindow="-110" windowWidth="19420" windowHeight="10300" tabRatio="764" activeTab="9" xr2:uid="{00000000-000D-0000-FFFF-FFFF00000000}"/>
  </bookViews>
  <sheets>
    <sheet name="ReadMe" sheetId="48" r:id="rId1"/>
    <sheet name="tableNames" sheetId="43" r:id="rId2"/>
    <sheet name="testDev" sheetId="53"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scalarData!$E$1:$G$1098</definedName>
    <definedName name="k_coBillions">controlTables!$D$211</definedName>
    <definedName name="k_coMillions">controlTables!$D$212</definedName>
    <definedName name="k_coThousands">controlTables!$D$213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6">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43" l="1"/>
  <c r="F18" i="43"/>
  <c r="B19" i="43"/>
  <c r="F19" i="43"/>
  <c r="B113" i="24"/>
  <c r="I113" i="24"/>
  <c r="J113" i="24" a="1"/>
  <c r="J113" i="24" s="1"/>
  <c r="K113" i="24" a="1"/>
  <c r="K113" i="24" s="1"/>
  <c r="B153" i="24"/>
  <c r="Q153" i="24"/>
  <c r="R153" i="24" a="1"/>
  <c r="R153" i="24" s="1"/>
  <c r="U153" i="24" a="1"/>
  <c r="U153" i="24" s="1"/>
  <c r="B154" i="24"/>
  <c r="Q154" i="24"/>
  <c r="R154" i="24" a="1"/>
  <c r="R154" i="24" s="1"/>
  <c r="U154" i="24" a="1"/>
  <c r="U154" i="24" s="1"/>
  <c r="B155" i="24"/>
  <c r="Q155" i="24"/>
  <c r="R155" i="24" a="1"/>
  <c r="R155" i="24" s="1"/>
  <c r="U155" i="24" a="1"/>
  <c r="U155" i="24" s="1"/>
  <c r="B65" i="24"/>
  <c r="D65" i="24" a="1"/>
  <c r="D65" i="24" s="1"/>
  <c r="M38" i="24" s="1" a="1"/>
  <c r="M38" i="24" s="1"/>
  <c r="E65" i="24" a="1"/>
  <c r="E65" i="24" s="1"/>
  <c r="F65" i="24" a="1"/>
  <c r="F65" i="24" s="1"/>
  <c r="B38" i="24"/>
  <c r="K38" i="24" a="1"/>
  <c r="K38" i="24" s="1"/>
  <c r="L38" i="24" a="1"/>
  <c r="L38" i="24" s="1"/>
  <c r="O38" i="24" a="1"/>
  <c r="O38" i="24" s="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K19" i="43" a="1"/>
  <c r="K18" i="43" a="1"/>
  <c r="I38" i="24"/>
  <c r="G18" i="43" a="1"/>
  <c r="G19" i="43" a="1"/>
  <c r="G18" i="43" l="1"/>
  <c r="K18" i="43"/>
  <c r="G19" i="43"/>
  <c r="K19" i="43"/>
  <c r="B18" i="53"/>
  <c r="B19" i="53"/>
  <c r="B20" i="53"/>
  <c r="B21" i="53"/>
  <c r="B22" i="53"/>
  <c r="B23" i="53"/>
  <c r="B24" i="53"/>
  <c r="B25" i="53"/>
  <c r="B26" i="53"/>
  <c r="B27" i="53"/>
  <c r="B28" i="53"/>
  <c r="B20" i="43"/>
  <c r="F20" i="43"/>
  <c r="B17" i="53"/>
  <c r="B16" i="53"/>
  <c r="B15" i="53"/>
  <c r="B14" i="53"/>
  <c r="B13" i="53"/>
  <c r="B12" i="53"/>
  <c r="B11" i="53"/>
  <c r="B10" i="53"/>
  <c r="B9" i="53"/>
  <c r="B8" i="53"/>
  <c r="B7" i="53"/>
  <c r="B6" i="53"/>
  <c r="B5" i="53"/>
  <c r="B4" i="53"/>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J18" i="43" a="1"/>
  <c r="J20" i="43" a="1"/>
  <c r="J19" i="43" a="1"/>
  <c r="G20" i="43" a="1"/>
  <c r="H20" i="43"/>
  <c r="K20" i="43" a="1"/>
  <c r="J18" i="43" l="1"/>
  <c r="L18" i="43" s="1"/>
  <c r="J19" i="43"/>
  <c r="L19" i="43" s="1"/>
  <c r="J20" i="43"/>
  <c r="G20" i="43"/>
  <c r="I20" i="43" s="1"/>
  <c r="K20" i="43"/>
  <c r="K21" i="24" a="1"/>
  <c r="K21" i="24" s="1"/>
  <c r="B87" i="24"/>
  <c r="I87" i="24"/>
  <c r="J87" i="24" a="1"/>
  <c r="J87" i="24" s="1"/>
  <c r="K87" i="24" a="1"/>
  <c r="K87" i="24" s="1"/>
  <c r="B88" i="24"/>
  <c r="I88" i="24"/>
  <c r="J88" i="24" a="1"/>
  <c r="J88" i="24" s="1"/>
  <c r="K88" i="24" a="1"/>
  <c r="K88"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3" i="24" a="1"/>
  <c r="K83" i="24" s="1"/>
  <c r="K84" i="24" a="1"/>
  <c r="K84" i="24" s="1"/>
  <c r="K77" i="24" a="1"/>
  <c r="K77" i="24" s="1"/>
  <c r="K78" i="24" a="1"/>
  <c r="K78" i="24" s="1"/>
  <c r="K79" i="24" a="1"/>
  <c r="K79" i="24" s="1"/>
  <c r="K86" i="24" a="1"/>
  <c r="K86" i="24" s="1"/>
  <c r="K89" i="24" a="1"/>
  <c r="K89" i="24" s="1"/>
  <c r="K90" i="24" a="1"/>
  <c r="K90" i="24" s="1"/>
  <c r="K91" i="24" a="1"/>
  <c r="K91" i="24" s="1"/>
  <c r="K92" i="24" a="1"/>
  <c r="K92" i="24" s="1"/>
  <c r="K93" i="24" a="1"/>
  <c r="K93" i="24" s="1"/>
  <c r="K94" i="24" a="1"/>
  <c r="K94" i="24" s="1"/>
  <c r="K95" i="24" a="1"/>
  <c r="K95" i="24" s="1"/>
  <c r="K96" i="24" a="1"/>
  <c r="K96" i="24" s="1"/>
  <c r="K97" i="24" a="1"/>
  <c r="K97" i="24" s="1"/>
  <c r="K80" i="24" a="1"/>
  <c r="K80" i="24" s="1"/>
  <c r="K81" i="24" a="1"/>
  <c r="K81" i="24" s="1"/>
  <c r="K82" i="24" a="1"/>
  <c r="K82"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114" i="24" a="1"/>
  <c r="K114" i="24" s="1"/>
  <c r="K115" i="24" a="1"/>
  <c r="K115" i="24" s="1"/>
  <c r="K116" i="24" a="1"/>
  <c r="K116" i="24" s="1"/>
  <c r="K117" i="24" a="1"/>
  <c r="K117" i="24" s="1"/>
  <c r="K85" i="24" a="1"/>
  <c r="K85" i="24" s="1"/>
  <c r="B22" i="24"/>
  <c r="B19" i="24"/>
  <c r="B20" i="24"/>
  <c r="B24" i="24"/>
  <c r="B25" i="24"/>
  <c r="B26" i="24"/>
  <c r="B27" i="24"/>
  <c r="B28" i="24"/>
  <c r="B21" i="24"/>
  <c r="B29" i="24"/>
  <c r="B30" i="24"/>
  <c r="B31" i="24"/>
  <c r="B32" i="24"/>
  <c r="B33" i="24"/>
  <c r="B34" i="24"/>
  <c r="B35" i="24"/>
  <c r="B36" i="24"/>
  <c r="B37" i="24"/>
  <c r="B39" i="24"/>
  <c r="B40" i="24"/>
  <c r="B41" i="24"/>
  <c r="B42" i="24"/>
  <c r="B23" i="24"/>
  <c r="B125" i="24"/>
  <c r="Q125" i="24"/>
  <c r="R125" i="24" a="1"/>
  <c r="R125" i="24" s="1"/>
  <c r="U125" i="24" a="1"/>
  <c r="U125" i="24" s="1"/>
  <c r="I80" i="24"/>
  <c r="I81" i="24"/>
  <c r="I82" i="24"/>
  <c r="B80" i="24"/>
  <c r="J80" i="24" a="1"/>
  <c r="J80" i="24" s="1"/>
  <c r="B81" i="24"/>
  <c r="J81" i="24" a="1"/>
  <c r="J81" i="24" s="1"/>
  <c r="B82" i="24"/>
  <c r="J82" i="24" a="1"/>
  <c r="J82" i="24" s="1"/>
  <c r="B49" i="24"/>
  <c r="D49" i="24" a="1"/>
  <c r="D49" i="24" s="1"/>
  <c r="M21" i="24" s="1" a="1"/>
  <c r="M21" i="24" s="1"/>
  <c r="E49" i="24" a="1"/>
  <c r="E49" i="24" s="1"/>
  <c r="F49" i="24" a="1"/>
  <c r="F49"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L20" i="43" l="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3" i="24"/>
  <c r="K183" i="24" a="1"/>
  <c r="K183" i="24" s="1"/>
  <c r="B181" i="24"/>
  <c r="K181" i="24" a="1"/>
  <c r="K181" i="24" s="1"/>
  <c r="B131" i="24"/>
  <c r="Q131" i="24"/>
  <c r="R131" i="24" a="1"/>
  <c r="R131" i="24" s="1"/>
  <c r="S131" i="24" a="1"/>
  <c r="S131" i="24" s="1"/>
  <c r="U131" i="24" a="1"/>
  <c r="U131" i="24" s="1"/>
  <c r="B130" i="24"/>
  <c r="Q130" i="24"/>
  <c r="R130" i="24" a="1"/>
  <c r="R130" i="24" s="1"/>
  <c r="U130" i="24" a="1"/>
  <c r="U130" i="24" s="1"/>
  <c r="B85" i="24"/>
  <c r="I85" i="24"/>
  <c r="J85" i="24" a="1"/>
  <c r="J85" i="24" s="1"/>
  <c r="B51" i="24"/>
  <c r="D51" i="24" a="1"/>
  <c r="D51" i="24" s="1"/>
  <c r="E51" i="24" a="1"/>
  <c r="E51" i="24" s="1"/>
  <c r="F51" i="24" a="1"/>
  <c r="F51" i="24" s="1"/>
  <c r="C4" i="24"/>
  <c r="I23"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22" i="24" a="1"/>
  <c r="R122" i="24" s="1"/>
  <c r="R123" i="24" a="1"/>
  <c r="R123" i="24" s="1"/>
  <c r="R124" i="24" a="1"/>
  <c r="R124" i="24" s="1"/>
  <c r="R133" i="24" a="1"/>
  <c r="R133" i="24" s="1"/>
  <c r="R134" i="24" a="1"/>
  <c r="R134" i="24" s="1"/>
  <c r="R135" i="24" a="1"/>
  <c r="R135" i="24" s="1"/>
  <c r="R136" i="24" a="1"/>
  <c r="R136" i="24" s="1"/>
  <c r="R137" i="24" a="1"/>
  <c r="R137" i="24" s="1"/>
  <c r="R138" i="24" a="1"/>
  <c r="R138" i="24" s="1"/>
  <c r="R139" i="24" a="1"/>
  <c r="R139" i="24" s="1"/>
  <c r="R140" i="24" a="1"/>
  <c r="R140" i="24" s="1"/>
  <c r="R142" i="24" a="1"/>
  <c r="R142" i="24" s="1"/>
  <c r="R143" i="24" a="1"/>
  <c r="R143" i="24" s="1"/>
  <c r="R144" i="24" a="1"/>
  <c r="R144" i="24" s="1"/>
  <c r="R145" i="24" a="1"/>
  <c r="R145" i="24" s="1"/>
  <c r="R146" i="24" a="1"/>
  <c r="R146" i="24" s="1"/>
  <c r="R147" i="24" a="1"/>
  <c r="R147" i="24" s="1"/>
  <c r="R148" i="24" a="1"/>
  <c r="R148" i="24" s="1"/>
  <c r="R149" i="24" a="1"/>
  <c r="R149" i="24" s="1"/>
  <c r="R152" i="24" a="1"/>
  <c r="R152" i="24" s="1"/>
  <c r="R151" i="24" a="1"/>
  <c r="R151" i="24" s="1"/>
  <c r="R150" i="24" a="1"/>
  <c r="R150" i="24" s="1"/>
  <c r="R156" i="24" a="1"/>
  <c r="R156" i="24" s="1"/>
  <c r="R157" i="24" a="1"/>
  <c r="R157" i="24" s="1"/>
  <c r="R158" i="24" a="1"/>
  <c r="R158" i="24" s="1"/>
  <c r="R159" i="24" a="1"/>
  <c r="R159" i="24" s="1"/>
  <c r="R160" i="24" a="1"/>
  <c r="R160" i="24" s="1"/>
  <c r="R161" i="24" a="1"/>
  <c r="R161" i="24" s="1"/>
  <c r="R162" i="24" a="1"/>
  <c r="R162" i="24" s="1"/>
  <c r="R163" i="24" a="1"/>
  <c r="R163" i="24" s="1"/>
  <c r="R132" i="24" a="1"/>
  <c r="R132" i="24" s="1"/>
  <c r="R141" i="24" a="1"/>
  <c r="R141" i="24" s="1"/>
  <c r="R126" i="24" a="1"/>
  <c r="R126" i="24" s="1"/>
  <c r="R127" i="24" a="1"/>
  <c r="R127" i="24" s="1"/>
  <c r="R128" i="24" a="1"/>
  <c r="R128" i="24" s="1"/>
  <c r="R129" i="24" a="1"/>
  <c r="R129" i="24" s="1"/>
  <c r="Q126" i="24"/>
  <c r="Q127" i="24"/>
  <c r="Q128" i="24"/>
  <c r="Q129" i="24"/>
  <c r="S126" i="24" a="1"/>
  <c r="S126" i="24" s="1"/>
  <c r="S127" i="24" a="1"/>
  <c r="S127" i="24" s="1"/>
  <c r="S128" i="24" a="1"/>
  <c r="S128" i="24" s="1"/>
  <c r="S129" i="24" a="1"/>
  <c r="S129" i="24" s="1"/>
  <c r="T126" i="24" a="1"/>
  <c r="T126" i="24" s="1"/>
  <c r="T127" i="24" a="1"/>
  <c r="T127" i="24" s="1"/>
  <c r="T128" i="24" a="1"/>
  <c r="T128" i="24" s="1"/>
  <c r="T129" i="24" a="1"/>
  <c r="T129" i="24" s="1"/>
  <c r="U126" i="24" a="1"/>
  <c r="U126" i="24" s="1"/>
  <c r="U127" i="24" a="1"/>
  <c r="U127" i="24" s="1"/>
  <c r="U128" i="24" a="1"/>
  <c r="U128" i="24" s="1"/>
  <c r="U129" i="24" a="1"/>
  <c r="U129" i="24" s="1"/>
  <c r="B126" i="24"/>
  <c r="B127" i="24"/>
  <c r="B128" i="24"/>
  <c r="B129" i="24"/>
  <c r="B84" i="24"/>
  <c r="I84" i="24"/>
  <c r="J84" i="24" a="1"/>
  <c r="J84" i="24" s="1"/>
  <c r="I83" i="24"/>
  <c r="J83" i="24" a="1"/>
  <c r="J83" i="24" s="1"/>
  <c r="B83" i="24"/>
  <c r="B50" i="24"/>
  <c r="D50" i="24" a="1"/>
  <c r="D50" i="24" s="1"/>
  <c r="M22" i="24" s="1" a="1"/>
  <c r="M22" i="24" s="1"/>
  <c r="E50" i="24" a="1"/>
  <c r="E50" i="24" s="1"/>
  <c r="F50" i="24" a="1"/>
  <c r="F50"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2" i="24"/>
  <c r="Q132" i="24"/>
  <c r="U132" i="24" a="1"/>
  <c r="U132" i="24" s="1"/>
  <c r="I103" i="24"/>
  <c r="B86" i="24"/>
  <c r="I86" i="24"/>
  <c r="J86" i="24" a="1"/>
  <c r="J86" i="24" s="1"/>
  <c r="D60" i="24" a="1"/>
  <c r="D60" i="24" s="1"/>
  <c r="E60" i="24" a="1"/>
  <c r="E60" i="24" s="1"/>
  <c r="F60" i="24" a="1"/>
  <c r="F60" i="24" s="1"/>
  <c r="B52" i="24"/>
  <c r="B60"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3" i="24"/>
  <c r="B141" i="24"/>
  <c r="Q141" i="24"/>
  <c r="S141" i="24" a="1"/>
  <c r="S141" i="24" s="1"/>
  <c r="U141" i="24" a="1"/>
  <c r="U141" i="24" s="1"/>
  <c r="J103" i="24" a="1"/>
  <c r="J103" i="24" s="1"/>
  <c r="D52" i="24" a="1"/>
  <c r="D52" i="24" s="1"/>
  <c r="M24" i="24" s="1" a="1"/>
  <c r="M24" i="24" s="1"/>
  <c r="E52" i="24" a="1"/>
  <c r="E52" i="24" s="1"/>
  <c r="F52" i="24" a="1"/>
  <c r="F52"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22" i="24"/>
  <c r="H19" i="43"/>
  <c r="K8" i="43" a="1"/>
  <c r="I24" i="24"/>
  <c r="H18" i="43"/>
  <c r="I32" i="24"/>
  <c r="H8" i="43"/>
  <c r="I19" i="43" l="1"/>
  <c r="I18" i="43"/>
  <c r="M32" i="24" a="1"/>
  <c r="M32" i="24" s="1"/>
  <c r="K8" i="43"/>
  <c r="J8" i="43" a="1"/>
  <c r="G8" i="43" a="1"/>
  <c r="J8" i="43" l="1"/>
  <c r="L8" i="43" s="1"/>
  <c r="G8" i="43"/>
  <c r="I8" i="43" s="1"/>
  <c r="O41" i="24" a="1"/>
  <c r="O41" i="24" s="1"/>
  <c r="L41" i="24" a="1"/>
  <c r="L41" i="24" s="1"/>
  <c r="K41" i="24" a="1"/>
  <c r="K41" i="24" s="1"/>
  <c r="B232" i="24"/>
  <c r="E232" i="24"/>
  <c r="F232" i="24" s="1"/>
  <c r="B160" i="24"/>
  <c r="Q160" i="24"/>
  <c r="U160" i="24" a="1"/>
  <c r="U160" i="24" s="1"/>
  <c r="B116" i="24"/>
  <c r="I116" i="24"/>
  <c r="J116" i="24" a="1"/>
  <c r="J116" i="24" s="1"/>
  <c r="B69" i="24"/>
  <c r="D69" i="24" a="1"/>
  <c r="D69" i="24" s="1"/>
  <c r="M41" i="24" s="1" a="1"/>
  <c r="M41" i="24" s="1"/>
  <c r="E69" i="24" a="1"/>
  <c r="E69" i="24" s="1"/>
  <c r="F69" i="24" a="1"/>
  <c r="F69"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1" i="24"/>
  <c r="G232" i="24" l="1"/>
  <c r="O30" i="24" l="1" a="1"/>
  <c r="O30" i="24" s="1"/>
  <c r="L30" i="24" a="1"/>
  <c r="L30" i="24" s="1"/>
  <c r="L31" i="24" a="1"/>
  <c r="L31" i="24" s="1"/>
  <c r="L33" i="24" a="1"/>
  <c r="L33" i="24" s="1"/>
  <c r="L34" i="24" a="1"/>
  <c r="L34" i="24" s="1"/>
  <c r="L35" i="24" a="1"/>
  <c r="L35" i="24" s="1"/>
  <c r="L36" i="24" a="1"/>
  <c r="L36" i="24" s="1"/>
  <c r="L37" i="24" a="1"/>
  <c r="L37" i="24" s="1"/>
  <c r="L39" i="24" a="1"/>
  <c r="L39" i="24" s="1"/>
  <c r="L40" i="24" a="1"/>
  <c r="L40" i="24" s="1"/>
  <c r="L42" i="24" a="1"/>
  <c r="L42" i="24" s="1"/>
  <c r="K30" i="24" a="1"/>
  <c r="K30" i="24" s="1"/>
  <c r="B233" i="24"/>
  <c r="E233" i="24"/>
  <c r="F233" i="24" s="1"/>
  <c r="B139" i="24"/>
  <c r="Q139" i="24"/>
  <c r="U139" i="24" a="1"/>
  <c r="U139" i="24" s="1"/>
  <c r="B101" i="24"/>
  <c r="I101" i="24"/>
  <c r="J101" i="24" a="1"/>
  <c r="J101" i="24" s="1"/>
  <c r="B58" i="24"/>
  <c r="D58" i="24" a="1"/>
  <c r="D58" i="24" s="1"/>
  <c r="M30" i="24" s="1" a="1"/>
  <c r="M30" i="24" s="1"/>
  <c r="E58" i="24" a="1"/>
  <c r="E58" i="24" s="1"/>
  <c r="F58" i="24" a="1"/>
  <c r="F58" i="24" s="1"/>
  <c r="B2325" i="25"/>
  <c r="B2326" i="25"/>
  <c r="B2327" i="25"/>
  <c r="B2328" i="25"/>
  <c r="B2329" i="25"/>
  <c r="B2330" i="25"/>
  <c r="A2325" i="25"/>
  <c r="A2326" i="25"/>
  <c r="A2327" i="25"/>
  <c r="A2328" i="25"/>
  <c r="A2329" i="25"/>
  <c r="A2330" i="25"/>
  <c r="A2324" i="25"/>
  <c r="B2324" i="25"/>
  <c r="I30" i="24"/>
  <c r="G233" i="24" l="1"/>
  <c r="F257" i="24" l="1"/>
  <c r="F258" i="24"/>
  <c r="F259" i="24"/>
  <c r="F260" i="24"/>
  <c r="G257" i="24"/>
  <c r="G258" i="24"/>
  <c r="G259" i="24"/>
  <c r="G260" i="24"/>
  <c r="B17" i="43"/>
  <c r="F17" i="43"/>
  <c r="J257" i="24"/>
  <c r="J258" i="24"/>
  <c r="J259" i="24"/>
  <c r="J260" i="24"/>
  <c r="B260" i="24"/>
  <c r="B259" i="24"/>
  <c r="B258" i="24"/>
  <c r="B257" i="24"/>
  <c r="C12" i="24"/>
  <c r="C3" i="24"/>
  <c r="G17" i="43" a="1"/>
  <c r="C9" i="24"/>
  <c r="C10" i="24"/>
  <c r="C11" i="24"/>
  <c r="C7" i="24"/>
  <c r="C6" i="24"/>
  <c r="C8" i="24"/>
  <c r="K17" i="43" a="1"/>
  <c r="K17" i="43" l="1"/>
  <c r="G17" i="43"/>
  <c r="H17" i="43"/>
  <c r="C2" i="24"/>
  <c r="J17" i="43" a="1"/>
  <c r="I17" i="43" l="1"/>
  <c r="J17" i="43"/>
  <c r="L17" i="43" s="1"/>
  <c r="U122" i="24" l="1" a="1"/>
  <c r="U122" i="24" s="1"/>
  <c r="U123" i="24" a="1"/>
  <c r="U123" i="24" s="1"/>
  <c r="U133" i="24" a="1"/>
  <c r="U133" i="24" s="1"/>
  <c r="U134" i="24" a="1"/>
  <c r="U134" i="24" s="1"/>
  <c r="U135" i="24" a="1"/>
  <c r="U135" i="24" s="1"/>
  <c r="U136" i="24" a="1"/>
  <c r="U136" i="24" s="1"/>
  <c r="U137" i="24" a="1"/>
  <c r="U137" i="24" s="1"/>
  <c r="U138" i="24" a="1"/>
  <c r="U138" i="24" s="1"/>
  <c r="U144" i="24" a="1"/>
  <c r="U144" i="24" s="1"/>
  <c r="U145" i="24" a="1"/>
  <c r="U145" i="24" s="1"/>
  <c r="U146" i="24" a="1"/>
  <c r="U146" i="24" s="1"/>
  <c r="U147" i="24" a="1"/>
  <c r="U147" i="24" s="1"/>
  <c r="U148" i="24" a="1"/>
  <c r="U148" i="24" s="1"/>
  <c r="U149" i="24" a="1"/>
  <c r="U149" i="24" s="1"/>
  <c r="U152" i="24" a="1"/>
  <c r="U152" i="24" s="1"/>
  <c r="U151" i="24" a="1"/>
  <c r="U151" i="24" s="1"/>
  <c r="U150" i="24" a="1"/>
  <c r="U150" i="24" s="1"/>
  <c r="U156" i="24" a="1"/>
  <c r="U156" i="24" s="1"/>
  <c r="U157" i="24" a="1"/>
  <c r="U157" i="24" s="1"/>
  <c r="U158" i="24" a="1"/>
  <c r="U158" i="24" s="1"/>
  <c r="U159" i="24" a="1"/>
  <c r="U159" i="24" s="1"/>
  <c r="U161" i="24" a="1"/>
  <c r="U161" i="24" s="1"/>
  <c r="U162" i="24" a="1"/>
  <c r="U162" i="24" s="1"/>
  <c r="U163" i="24" a="1"/>
  <c r="U163" i="24" s="1"/>
  <c r="S122" i="24" a="1"/>
  <c r="S122" i="24" s="1"/>
  <c r="S123" i="24" a="1"/>
  <c r="S123" i="24" s="1"/>
  <c r="S124" i="24" a="1"/>
  <c r="S124" i="24" s="1"/>
  <c r="S133" i="24" a="1"/>
  <c r="S133" i="24" s="1"/>
  <c r="S136" i="24" a="1"/>
  <c r="S136" i="24" s="1"/>
  <c r="S137" i="24" a="1"/>
  <c r="S137" i="24" s="1"/>
  <c r="S138" i="24" a="1"/>
  <c r="S138" i="24" s="1"/>
  <c r="S140" i="24" a="1"/>
  <c r="S140" i="24" s="1"/>
  <c r="S144" i="24" a="1"/>
  <c r="S144" i="24" s="1"/>
  <c r="S145" i="24" a="1"/>
  <c r="S145" i="24" s="1"/>
  <c r="S146" i="24" a="1"/>
  <c r="S146" i="24" s="1"/>
  <c r="S147" i="24" a="1"/>
  <c r="S147" i="24" s="1"/>
  <c r="S148" i="24" a="1"/>
  <c r="S148" i="24" s="1"/>
  <c r="S149" i="24" a="1"/>
  <c r="S149" i="24" s="1"/>
  <c r="S152" i="24" a="1"/>
  <c r="S152" i="24" s="1"/>
  <c r="S151" i="24" a="1"/>
  <c r="S151" i="24" s="1"/>
  <c r="S150" i="24" a="1"/>
  <c r="S150" i="24" s="1"/>
  <c r="S156" i="24" a="1"/>
  <c r="S156" i="24" s="1"/>
  <c r="S157" i="24" a="1"/>
  <c r="S157" i="24" s="1"/>
  <c r="S158" i="24" a="1"/>
  <c r="S158" i="24" s="1"/>
  <c r="S159" i="24" a="1"/>
  <c r="S159" i="24" s="1"/>
  <c r="S161" i="24" a="1"/>
  <c r="S161" i="24" s="1"/>
  <c r="S162" i="24" a="1"/>
  <c r="S162" i="24" s="1"/>
  <c r="S163" i="24" a="1"/>
  <c r="S163" i="24" s="1"/>
  <c r="T124" i="24" a="1"/>
  <c r="T124" i="24" s="1"/>
  <c r="T133" i="24" a="1"/>
  <c r="T133" i="24" s="1"/>
  <c r="T134" i="24" a="1"/>
  <c r="T134" i="24" s="1"/>
  <c r="T135" i="24" a="1"/>
  <c r="T135" i="24" s="1"/>
  <c r="T138" i="24" a="1"/>
  <c r="T138" i="24" s="1"/>
  <c r="T142" i="24" a="1"/>
  <c r="T142" i="24" s="1"/>
  <c r="T143" i="24" a="1"/>
  <c r="T143" i="24" s="1"/>
  <c r="T149" i="24" a="1"/>
  <c r="T149" i="24" s="1"/>
  <c r="T156" i="24" a="1"/>
  <c r="T156" i="24" s="1"/>
  <c r="T157" i="24" a="1"/>
  <c r="T157" i="24" s="1"/>
  <c r="T161" i="24" a="1"/>
  <c r="T161" i="24" s="1"/>
  <c r="T162" i="24" a="1"/>
  <c r="T162" i="24" s="1"/>
  <c r="T163" i="24" a="1"/>
  <c r="T163" i="24" s="1"/>
  <c r="K184" i="24" a="1"/>
  <c r="K184" i="24" s="1"/>
  <c r="K176" i="24" a="1"/>
  <c r="K176" i="24" s="1"/>
  <c r="K169" i="24" a="1"/>
  <c r="K169" i="24" s="1"/>
  <c r="K178" i="24" a="1"/>
  <c r="K178" i="24" s="1"/>
  <c r="K179" i="24" a="1"/>
  <c r="K179" i="24" s="1"/>
  <c r="K177" i="24" a="1"/>
  <c r="K177" i="24" s="1"/>
  <c r="K185" i="24" a="1"/>
  <c r="K185" i="24" s="1"/>
  <c r="K175" i="24" a="1"/>
  <c r="K175" i="24" s="1"/>
  <c r="K182" i="24" a="1"/>
  <c r="K182" i="24" s="1"/>
  <c r="K180" i="24" a="1"/>
  <c r="K180" i="24" s="1"/>
  <c r="K196" i="24" a="1"/>
  <c r="K196" i="24" s="1"/>
  <c r="K193" i="24" a="1"/>
  <c r="K193" i="24" s="1"/>
  <c r="K195" i="24" a="1"/>
  <c r="K195" i="24" s="1"/>
  <c r="K197" i="24" a="1"/>
  <c r="K197" i="24" s="1"/>
  <c r="K194" i="24" a="1"/>
  <c r="K194" i="24" s="1"/>
  <c r="K186" i="24" a="1"/>
  <c r="K186" i="24" s="1"/>
  <c r="K188" i="24" a="1"/>
  <c r="K188" i="24" s="1"/>
  <c r="K187" i="24" a="1"/>
  <c r="K187" i="24" s="1"/>
  <c r="K174" i="24" a="1"/>
  <c r="K174" i="24" s="1"/>
  <c r="K173" i="24" a="1"/>
  <c r="K173" i="24" s="1"/>
  <c r="K170" i="24" a="1"/>
  <c r="K170" i="24" s="1"/>
  <c r="K172" i="24" a="1"/>
  <c r="K172" i="24" s="1"/>
  <c r="K171" i="24" a="1"/>
  <c r="K171" i="24" s="1"/>
  <c r="K190" i="24" a="1"/>
  <c r="K190" i="24" s="1"/>
  <c r="K189" i="24" a="1"/>
  <c r="K189" i="24" s="1"/>
  <c r="K191" i="24" a="1"/>
  <c r="K191" i="24" s="1"/>
  <c r="K192" i="24" a="1"/>
  <c r="K192"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2" i="24"/>
  <c r="B124" i="24"/>
  <c r="Q124" i="24"/>
  <c r="B48" i="24"/>
  <c r="D48" i="24" a="1"/>
  <c r="D48" i="24" s="1"/>
  <c r="M20" i="24" s="1" a="1"/>
  <c r="M20" i="24" s="1"/>
  <c r="E48" i="24" a="1"/>
  <c r="E48" i="24" s="1"/>
  <c r="F48" i="24" a="1"/>
  <c r="F48" i="24" s="1"/>
  <c r="B79" i="24"/>
  <c r="I79" i="24"/>
  <c r="J79" i="24" a="1"/>
  <c r="J79"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6" i="24" l="1"/>
  <c r="G227" i="24"/>
  <c r="G228" i="24"/>
  <c r="G229" i="24"/>
  <c r="G230" i="24"/>
  <c r="G231" i="24"/>
  <c r="E226" i="24"/>
  <c r="E227" i="24"/>
  <c r="E228" i="24"/>
  <c r="E229" i="24"/>
  <c r="E230" i="24"/>
  <c r="E231" i="24"/>
  <c r="E234" i="24"/>
  <c r="G234" i="24" s="1"/>
  <c r="E235" i="24"/>
  <c r="G235" i="24" s="1"/>
  <c r="E236" i="24"/>
  <c r="G236" i="24" s="1"/>
  <c r="E237" i="24"/>
  <c r="G237" i="24" s="1"/>
  <c r="E238" i="24"/>
  <c r="G238" i="24" s="1"/>
  <c r="E239" i="24"/>
  <c r="G239"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6" i="24" l="1"/>
  <c r="D66" i="24" a="1"/>
  <c r="D66" i="24" s="1"/>
  <c r="M37" i="24" s="1" a="1"/>
  <c r="M37" i="24" s="1"/>
  <c r="E66" i="24" a="1"/>
  <c r="E66" i="24" s="1"/>
  <c r="F66" i="24" a="1"/>
  <c r="F66" i="24" s="1"/>
  <c r="A818" i="44"/>
  <c r="B818" i="44"/>
  <c r="C818" i="44"/>
  <c r="A819" i="44"/>
  <c r="B819" i="44"/>
  <c r="C819" i="44"/>
  <c r="B175" i="24"/>
  <c r="B182" i="24"/>
  <c r="A815" i="44"/>
  <c r="A816" i="44"/>
  <c r="A817" i="44"/>
  <c r="B815" i="44"/>
  <c r="B816" i="44"/>
  <c r="B817" i="44"/>
  <c r="C815" i="44"/>
  <c r="C816" i="44"/>
  <c r="C817" i="44"/>
  <c r="B151" i="24"/>
  <c r="B150" i="24"/>
  <c r="Q151" i="24"/>
  <c r="Q150" i="24"/>
  <c r="B190" i="24"/>
  <c r="B189" i="24"/>
  <c r="B191" i="24"/>
  <c r="B152" i="24"/>
  <c r="Q152" i="24"/>
  <c r="K37" i="24" a="1"/>
  <c r="K37" i="24" s="1"/>
  <c r="O37" i="24" a="1"/>
  <c r="O37" i="24" s="1"/>
  <c r="B112" i="24"/>
  <c r="I112" i="24"/>
  <c r="J112" i="24" a="1"/>
  <c r="J112"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8"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9" i="24" a="1"/>
  <c r="O39" i="24" s="1"/>
  <c r="O40" i="24" a="1"/>
  <c r="O40" i="24" s="1"/>
  <c r="O42" i="24" a="1"/>
  <c r="O42" i="24" s="1"/>
  <c r="N219" i="24" l="1" a="1"/>
  <c r="N219" i="24" s="1"/>
  <c r="N38" i="24" s="1" a="1"/>
  <c r="N38" i="24" s="1"/>
  <c r="P38" i="24" s="1"/>
  <c r="N220" i="24" a="1"/>
  <c r="N220"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9" i="24" a="1"/>
  <c r="K39" i="24" s="1"/>
  <c r="K40" i="24" a="1"/>
  <c r="K40" i="24" s="1"/>
  <c r="K42" i="24" a="1"/>
  <c r="K42" i="24" s="1"/>
  <c r="N23" i="24" l="1" a="1"/>
  <c r="N23" i="24" s="1"/>
  <c r="P23" i="24" s="1"/>
  <c r="N21" i="24" a="1"/>
  <c r="N21" i="24" s="1"/>
  <c r="P21" i="24" s="1"/>
  <c r="N22" i="24" a="1"/>
  <c r="N22" i="24" s="1"/>
  <c r="P22" i="24" s="1"/>
  <c r="N32" i="24" a="1"/>
  <c r="N32" i="24" s="1"/>
  <c r="P32" i="24" s="1"/>
  <c r="N41" i="24" a="1"/>
  <c r="N41" i="24" s="1"/>
  <c r="P41" i="24" s="1"/>
  <c r="N24" i="24" a="1"/>
  <c r="N24" i="24" s="1"/>
  <c r="P24" i="24" s="1"/>
  <c r="N30" i="24" a="1"/>
  <c r="N30" i="24" s="1"/>
  <c r="P30" i="24" s="1"/>
  <c r="N20" i="24" a="1"/>
  <c r="N20" i="24" s="1"/>
  <c r="P20" i="24" s="1"/>
  <c r="N19" i="24" a="1"/>
  <c r="N19" i="24" s="1"/>
  <c r="N37" i="24" a="1"/>
  <c r="N37" i="24" s="1"/>
  <c r="P37" i="24" s="1"/>
  <c r="N33" i="24" a="1"/>
  <c r="N33" i="24" s="1"/>
  <c r="N31" i="24" a="1"/>
  <c r="N31" i="24" s="1"/>
  <c r="N42" i="24" a="1"/>
  <c r="N42" i="24" s="1"/>
  <c r="N29" i="24" a="1"/>
  <c r="N29" i="24" s="1"/>
  <c r="N40" i="24" a="1"/>
  <c r="N40" i="24" s="1"/>
  <c r="N27" i="24" a="1"/>
  <c r="N27" i="24" s="1"/>
  <c r="N39" i="24" a="1"/>
  <c r="N39" i="24" s="1"/>
  <c r="N28" i="24" a="1"/>
  <c r="N28" i="24" s="1"/>
  <c r="N36" i="24" a="1"/>
  <c r="N36" i="24" s="1"/>
  <c r="N26" i="24" a="1"/>
  <c r="N26" i="24" s="1"/>
  <c r="N35" i="24" a="1"/>
  <c r="N35" i="24" s="1"/>
  <c r="N34" i="24" a="1"/>
  <c r="N34" i="24" s="1"/>
  <c r="B16" i="43"/>
  <c r="F16" i="43"/>
  <c r="K16" i="43" a="1"/>
  <c r="J16" i="43" a="1"/>
  <c r="J16" i="43" l="1"/>
  <c r="M16" i="43" s="1" a="1"/>
  <c r="M16" i="43" s="1"/>
  <c r="K16" i="43"/>
  <c r="B234" i="24"/>
  <c r="B235" i="24"/>
  <c r="B236" i="24"/>
  <c r="B237" i="24"/>
  <c r="B238" i="24"/>
  <c r="B239" i="24"/>
  <c r="F234" i="24"/>
  <c r="F235" i="24"/>
  <c r="F236" i="24"/>
  <c r="F237" i="24"/>
  <c r="F238" i="24"/>
  <c r="F239" i="24"/>
  <c r="G16" i="43" a="1"/>
  <c r="G16" i="43" l="1"/>
  <c r="L16" i="43"/>
  <c r="J77" i="24" l="1" a="1"/>
  <c r="J77" i="24" s="1"/>
  <c r="J78" i="24" a="1"/>
  <c r="J78" i="24" s="1"/>
  <c r="J89" i="24" a="1"/>
  <c r="J89" i="24" s="1"/>
  <c r="J90" i="24" a="1"/>
  <c r="J90" i="24" s="1"/>
  <c r="J91" i="24" a="1"/>
  <c r="J91" i="24" s="1"/>
  <c r="J96" i="24" a="1"/>
  <c r="J96" i="24" s="1"/>
  <c r="J97" i="24" a="1"/>
  <c r="J97" i="24" s="1"/>
  <c r="J92" i="24" a="1"/>
  <c r="J92" i="24" s="1"/>
  <c r="J93" i="24" a="1"/>
  <c r="J93" i="24" s="1"/>
  <c r="J94" i="24" a="1"/>
  <c r="J94" i="24" s="1"/>
  <c r="J95" i="24" a="1"/>
  <c r="J95" i="24" s="1"/>
  <c r="J98" i="24" a="1"/>
  <c r="J98" i="24" s="1"/>
  <c r="J99" i="24" a="1"/>
  <c r="J99" i="24" s="1"/>
  <c r="J100" i="24" a="1"/>
  <c r="J100" i="24" s="1"/>
  <c r="J102" i="24" a="1"/>
  <c r="J102" i="24" s="1"/>
  <c r="J104" i="24" a="1"/>
  <c r="J104" i="24" s="1"/>
  <c r="J105" i="24" a="1"/>
  <c r="J105" i="24" s="1"/>
  <c r="J106" i="24" a="1"/>
  <c r="J106" i="24" s="1"/>
  <c r="J107" i="24" a="1"/>
  <c r="J107" i="24" s="1"/>
  <c r="J108" i="24" a="1"/>
  <c r="J108" i="24" s="1"/>
  <c r="J109" i="24" a="1"/>
  <c r="J109" i="24" s="1"/>
  <c r="J110" i="24" a="1"/>
  <c r="J110" i="24" s="1"/>
  <c r="J111" i="24" a="1"/>
  <c r="J111" i="24" s="1"/>
  <c r="J114" i="24" a="1"/>
  <c r="J114" i="24" s="1"/>
  <c r="J115" i="24" a="1"/>
  <c r="J115" i="24" s="1"/>
  <c r="J117" i="24" a="1"/>
  <c r="J117" i="24" s="1"/>
  <c r="B78" i="24"/>
  <c r="B15" i="43"/>
  <c r="F15" i="43"/>
  <c r="B205" i="24"/>
  <c r="B204" i="24"/>
  <c r="B203" i="24"/>
  <c r="K15" i="43" a="1"/>
  <c r="J15" i="43" a="1"/>
  <c r="J15" i="43" l="1"/>
  <c r="M15" i="43" s="1"/>
  <c r="K15" i="43"/>
  <c r="B171" i="24"/>
  <c r="B187" i="24"/>
  <c r="B194" i="24"/>
  <c r="B180" i="24"/>
  <c r="H15" i="43"/>
  <c r="G15" i="43" a="1"/>
  <c r="G15" i="43" l="1"/>
  <c r="I15" i="43" s="1"/>
  <c r="L15" i="43"/>
  <c r="I77" i="24"/>
  <c r="I78" i="24"/>
  <c r="I89" i="24"/>
  <c r="I90" i="24"/>
  <c r="I91" i="24"/>
  <c r="I96" i="24"/>
  <c r="I97" i="24"/>
  <c r="I92" i="24"/>
  <c r="I93" i="24"/>
  <c r="I94" i="24"/>
  <c r="I95" i="24"/>
  <c r="I98" i="24"/>
  <c r="I99" i="24"/>
  <c r="I100" i="24"/>
  <c r="I102" i="24"/>
  <c r="I104" i="24"/>
  <c r="I105" i="24"/>
  <c r="I106" i="24"/>
  <c r="I107" i="24"/>
  <c r="I108" i="24"/>
  <c r="I109" i="24"/>
  <c r="I110" i="24"/>
  <c r="I111" i="24"/>
  <c r="I114" i="24"/>
  <c r="I115" i="24"/>
  <c r="I117" i="24"/>
  <c r="B14" i="43"/>
  <c r="F14" i="43"/>
  <c r="B13" i="43"/>
  <c r="F13" i="43"/>
  <c r="F47" i="24" a="1"/>
  <c r="F47" i="24" s="1"/>
  <c r="F53" i="24" a="1"/>
  <c r="F53" i="24" s="1"/>
  <c r="F54" i="24" a="1"/>
  <c r="F54" i="24" s="1"/>
  <c r="F56" i="24" a="1"/>
  <c r="F56" i="24" s="1"/>
  <c r="F55" i="24" a="1"/>
  <c r="F55" i="24" s="1"/>
  <c r="F57" i="24" a="1"/>
  <c r="F57" i="24" s="1"/>
  <c r="F59" i="24" a="1"/>
  <c r="F59" i="24" s="1"/>
  <c r="F61" i="24" a="1"/>
  <c r="F61" i="24" s="1"/>
  <c r="F62" i="24" a="1"/>
  <c r="F62" i="24" s="1"/>
  <c r="F63" i="24" a="1"/>
  <c r="F63" i="24" s="1"/>
  <c r="F64" i="24" a="1"/>
  <c r="F64" i="24" s="1"/>
  <c r="F67" i="24" a="1"/>
  <c r="F67" i="24" s="1"/>
  <c r="F68" i="24" a="1"/>
  <c r="F68" i="24" s="1"/>
  <c r="F70" i="24" a="1"/>
  <c r="F70" i="24" s="1"/>
  <c r="E47" i="24" a="1"/>
  <c r="E47" i="24" s="1"/>
  <c r="E53" i="24" a="1"/>
  <c r="E53" i="24" s="1"/>
  <c r="E54" i="24" a="1"/>
  <c r="E54" i="24" s="1"/>
  <c r="E56" i="24" a="1"/>
  <c r="E56" i="24" s="1"/>
  <c r="E55" i="24" a="1"/>
  <c r="E55" i="24" s="1"/>
  <c r="E57" i="24" a="1"/>
  <c r="E57" i="24" s="1"/>
  <c r="E59" i="24" a="1"/>
  <c r="E59" i="24" s="1"/>
  <c r="E61" i="24" a="1"/>
  <c r="E61" i="24" s="1"/>
  <c r="E62" i="24" a="1"/>
  <c r="E62" i="24" s="1"/>
  <c r="E63" i="24" a="1"/>
  <c r="E63" i="24" s="1"/>
  <c r="E64" i="24" a="1"/>
  <c r="E64" i="24" s="1"/>
  <c r="E67" i="24" a="1"/>
  <c r="E67" i="24" s="1"/>
  <c r="E68" i="24" a="1"/>
  <c r="E68" i="24" s="1"/>
  <c r="E70" i="24" a="1"/>
  <c r="E70" i="24" s="1"/>
  <c r="D47" i="24" a="1"/>
  <c r="D47" i="24" s="1"/>
  <c r="M19" i="24" s="1" a="1"/>
  <c r="M19" i="24" s="1"/>
  <c r="P19" i="24" s="1"/>
  <c r="D53" i="24" a="1"/>
  <c r="D53" i="24" s="1"/>
  <c r="M25" i="24" s="1" a="1"/>
  <c r="M25" i="24" s="1"/>
  <c r="D54" i="24" a="1"/>
  <c r="D54" i="24" s="1"/>
  <c r="M26" i="24" s="1" a="1"/>
  <c r="M26" i="24" s="1"/>
  <c r="P26" i="24" s="1"/>
  <c r="D56" i="24" a="1"/>
  <c r="D56" i="24" s="1"/>
  <c r="M28" i="24" s="1" a="1"/>
  <c r="M28" i="24" s="1"/>
  <c r="P28" i="24" s="1"/>
  <c r="D55" i="24" a="1"/>
  <c r="D55" i="24" s="1"/>
  <c r="M27" i="24" s="1" a="1"/>
  <c r="M27" i="24" s="1"/>
  <c r="P27" i="24" s="1"/>
  <c r="D57" i="24" a="1"/>
  <c r="D57" i="24" s="1"/>
  <c r="M29" i="24" s="1" a="1"/>
  <c r="M29" i="24" s="1"/>
  <c r="D59" i="24" a="1"/>
  <c r="D59" i="24" s="1"/>
  <c r="M31" i="24" s="1" a="1"/>
  <c r="M31" i="24" s="1"/>
  <c r="P31" i="24" s="1"/>
  <c r="D61" i="24" a="1"/>
  <c r="D61" i="24" s="1"/>
  <c r="M33" i="24" s="1" a="1"/>
  <c r="M33" i="24" s="1"/>
  <c r="P33" i="24" s="1"/>
  <c r="D62" i="24" a="1"/>
  <c r="D62" i="24" s="1"/>
  <c r="M34" i="24" s="1" a="1"/>
  <c r="M34" i="24" s="1"/>
  <c r="P34" i="24" s="1"/>
  <c r="D63" i="24" a="1"/>
  <c r="D63" i="24" s="1"/>
  <c r="M35" i="24" s="1" a="1"/>
  <c r="M35" i="24" s="1"/>
  <c r="P35" i="24" s="1"/>
  <c r="D64" i="24" a="1"/>
  <c r="D64" i="24" s="1"/>
  <c r="M36" i="24" s="1" a="1"/>
  <c r="M36" i="24" s="1"/>
  <c r="P36" i="24" s="1"/>
  <c r="D67" i="24" a="1"/>
  <c r="D67" i="24" s="1"/>
  <c r="M39" i="24" s="1" a="1"/>
  <c r="M39" i="24" s="1"/>
  <c r="P39" i="24" s="1"/>
  <c r="D68" i="24" a="1"/>
  <c r="D68" i="24" s="1"/>
  <c r="M40" i="24" s="1" a="1"/>
  <c r="M40" i="24" s="1"/>
  <c r="P40" i="24" s="1"/>
  <c r="D70" i="24" a="1"/>
  <c r="D70" i="24" s="1"/>
  <c r="M42" i="24" s="1" a="1"/>
  <c r="M42" i="24" s="1"/>
  <c r="P42" i="24" s="1"/>
  <c r="B55" i="24"/>
  <c r="B57" i="24"/>
  <c r="B59" i="24"/>
  <c r="B61" i="24"/>
  <c r="B62" i="24"/>
  <c r="B63" i="24"/>
  <c r="B64" i="24"/>
  <c r="B67" i="24"/>
  <c r="B68" i="24"/>
  <c r="B70"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3"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3" i="24"/>
  <c r="I31" i="24"/>
  <c r="I26" i="24"/>
  <c r="I19" i="24"/>
  <c r="G14" i="43" a="1"/>
  <c r="I40" i="24"/>
  <c r="I39" i="24"/>
  <c r="K14" i="43" a="1"/>
  <c r="K13" i="43" a="1"/>
  <c r="I29" i="24"/>
  <c r="J13" i="43" a="1"/>
  <c r="I27" i="24"/>
  <c r="I42" i="24"/>
  <c r="I34" i="24"/>
  <c r="I35" i="24"/>
  <c r="I36" i="24"/>
  <c r="C5" i="24"/>
  <c r="I28" i="24"/>
  <c r="I25" i="24"/>
  <c r="G38" i="24" l="1" a="1"/>
  <c r="G38" i="24" s="1"/>
  <c r="G21" i="24" a="1"/>
  <c r="G21" i="24" s="1"/>
  <c r="G23" i="24" a="1"/>
  <c r="G23" i="24" s="1"/>
  <c r="G32" i="24" a="1"/>
  <c r="G32" i="24" s="1"/>
  <c r="G22" i="24" a="1"/>
  <c r="G22" i="24" s="1"/>
  <c r="G24" i="24" a="1"/>
  <c r="G24" i="24" s="1"/>
  <c r="G41" i="24" a="1"/>
  <c r="G41"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2" i="24" a="1"/>
  <c r="G42" i="24" s="1"/>
  <c r="G33" i="24" a="1"/>
  <c r="G33" i="24" s="1"/>
  <c r="G28" i="24" a="1"/>
  <c r="G28" i="24" s="1"/>
  <c r="G39" i="24" a="1"/>
  <c r="G39" i="24" s="1"/>
  <c r="G40" i="24" a="1"/>
  <c r="G40"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9" i="24" l="1"/>
  <c r="B90" i="24"/>
  <c r="B91" i="24"/>
  <c r="B96" i="24"/>
  <c r="B97" i="24"/>
  <c r="B92" i="24"/>
  <c r="B93" i="24"/>
  <c r="B94" i="24"/>
  <c r="B95" i="24"/>
  <c r="B98" i="24"/>
  <c r="B99" i="24"/>
  <c r="B100" i="24"/>
  <c r="B102" i="24"/>
  <c r="B104" i="24"/>
  <c r="B105" i="24"/>
  <c r="B106" i="24"/>
  <c r="B107" i="24"/>
  <c r="B108" i="24"/>
  <c r="B109" i="24"/>
  <c r="B110" i="24"/>
  <c r="B111" i="24"/>
  <c r="B114" i="24"/>
  <c r="B115" i="24"/>
  <c r="B117" i="24"/>
  <c r="B77" i="24"/>
  <c r="H25" i="24" a="1"/>
  <c r="H33" i="24" a="1"/>
  <c r="H23" i="24" a="1"/>
  <c r="H37" i="24" a="1"/>
  <c r="H40" i="24" a="1"/>
  <c r="H38" i="24" a="1"/>
  <c r="H42" i="24" a="1"/>
  <c r="H36" i="24" a="1"/>
  <c r="H27" i="24" a="1"/>
  <c r="H20" i="24" a="1"/>
  <c r="H22" i="24" a="1"/>
  <c r="H41" i="24" a="1"/>
  <c r="H24" i="24" a="1"/>
  <c r="H34" i="24" a="1"/>
  <c r="H32" i="24" a="1"/>
  <c r="H35" i="24" a="1"/>
  <c r="H39" i="24" a="1"/>
  <c r="H30" i="24" a="1"/>
  <c r="H26" i="24" a="1"/>
  <c r="H28" i="24" a="1"/>
  <c r="H19" i="24" a="1"/>
  <c r="H31" i="24" a="1"/>
  <c r="H29" i="24" a="1"/>
  <c r="H21" i="24" a="1"/>
  <c r="H38" i="24" l="1"/>
  <c r="H21" i="24"/>
  <c r="H23" i="24"/>
  <c r="H32" i="24"/>
  <c r="H22" i="24"/>
  <c r="H24" i="24"/>
  <c r="H41" i="24"/>
  <c r="H30" i="24"/>
  <c r="H20" i="24"/>
  <c r="H37" i="24"/>
  <c r="H40" i="24"/>
  <c r="H26" i="24"/>
  <c r="H31" i="24"/>
  <c r="H36" i="24"/>
  <c r="H28" i="24"/>
  <c r="H39" i="24"/>
  <c r="H42"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86" i="24"/>
  <c r="B188" i="24"/>
  <c r="B174" i="24"/>
  <c r="B170" i="24"/>
  <c r="B172" i="24"/>
  <c r="B196" i="24"/>
  <c r="B193" i="24"/>
  <c r="B195" i="24"/>
  <c r="B197" i="24"/>
  <c r="F4" i="43"/>
  <c r="F5" i="43"/>
  <c r="F6" i="43"/>
  <c r="F7" i="43"/>
  <c r="B7" i="43"/>
  <c r="B4" i="46"/>
  <c r="B5" i="46"/>
  <c r="B6" i="46"/>
  <c r="B7" i="46"/>
  <c r="B8" i="46"/>
  <c r="B9" i="46"/>
  <c r="B10" i="46"/>
  <c r="B11" i="46"/>
  <c r="B12" i="46"/>
  <c r="B13" i="46"/>
  <c r="B14" i="46"/>
  <c r="B15" i="46"/>
  <c r="B16" i="46"/>
  <c r="B17" i="46"/>
  <c r="B18" i="46"/>
  <c r="B19" i="46"/>
  <c r="B20" i="46"/>
  <c r="K12" i="43" a="1"/>
  <c r="K11" i="43" a="1"/>
  <c r="G10" i="43" a="1"/>
  <c r="G12" i="43" a="1"/>
  <c r="K7" i="43" a="1"/>
  <c r="G5" i="43" a="1"/>
  <c r="G9" i="43" a="1"/>
  <c r="K10" i="43" a="1"/>
  <c r="K9" i="43" a="1"/>
  <c r="G6" i="43" a="1"/>
  <c r="G7" i="43" a="1"/>
  <c r="G4" i="43" a="1"/>
  <c r="G11" i="43" a="1"/>
  <c r="S153" i="24" l="1" a="1"/>
  <c r="S153" i="24" s="1"/>
  <c r="T153" i="24" a="1"/>
  <c r="T153" i="24" s="1"/>
  <c r="S154" i="24" a="1"/>
  <c r="S154" i="24" s="1"/>
  <c r="T154" i="24" a="1"/>
  <c r="T154" i="24" s="1"/>
  <c r="T155" i="24" a="1"/>
  <c r="T155" i="24" s="1"/>
  <c r="S155" i="24" a="1"/>
  <c r="S155" i="24" s="1"/>
  <c r="S125" i="24" a="1"/>
  <c r="S125" i="24" s="1"/>
  <c r="T125" i="24" a="1"/>
  <c r="T125" i="24" s="1"/>
  <c r="G9" i="43"/>
  <c r="T131" i="24" a="1"/>
  <c r="T131" i="24" s="1"/>
  <c r="T130" i="24" a="1"/>
  <c r="T130" i="24" s="1"/>
  <c r="S130" i="24" a="1"/>
  <c r="S130" i="24" s="1"/>
  <c r="S132" i="24" a="1"/>
  <c r="S132" i="24" s="1"/>
  <c r="T132" i="24" a="1"/>
  <c r="T132" i="24" s="1"/>
  <c r="T141" i="24" a="1"/>
  <c r="T141" i="24" s="1"/>
  <c r="T160" i="24" a="1"/>
  <c r="T160" i="24" s="1"/>
  <c r="S160" i="24" a="1"/>
  <c r="S160" i="24" s="1"/>
  <c r="S139" i="24" a="1"/>
  <c r="S139" i="24" s="1"/>
  <c r="T139" i="24" a="1"/>
  <c r="T139" i="24" s="1"/>
  <c r="S134" i="24" a="1"/>
  <c r="S134" i="24" s="1"/>
  <c r="T122" i="24" a="1"/>
  <c r="T122" i="24" s="1"/>
  <c r="T137" i="24" a="1"/>
  <c r="T137" i="24" s="1"/>
  <c r="T158" i="24" a="1"/>
  <c r="T158" i="24" s="1"/>
  <c r="S135" i="24" a="1"/>
  <c r="S135" i="24" s="1"/>
  <c r="T140" i="24" a="1"/>
  <c r="T140" i="24" s="1"/>
  <c r="T145" i="24" a="1"/>
  <c r="T145" i="24" s="1"/>
  <c r="T148" i="24" a="1"/>
  <c r="T148" i="24" s="1"/>
  <c r="T150" i="24" a="1"/>
  <c r="T150" i="24" s="1"/>
  <c r="S143" i="24" a="1"/>
  <c r="S143" i="24" s="1"/>
  <c r="T144" i="24" a="1"/>
  <c r="T144" i="24" s="1"/>
  <c r="U142" i="24" a="1"/>
  <c r="U142" i="24" s="1"/>
  <c r="T152" i="24" a="1"/>
  <c r="T152" i="24" s="1"/>
  <c r="U143" i="24" a="1"/>
  <c r="U143" i="24" s="1"/>
  <c r="T159" i="24" a="1"/>
  <c r="T159" i="24" s="1"/>
  <c r="T136" i="24" a="1"/>
  <c r="T136" i="24" s="1"/>
  <c r="T146" i="24" a="1"/>
  <c r="T146" i="24" s="1"/>
  <c r="T123" i="24" a="1"/>
  <c r="T123" i="24" s="1"/>
  <c r="T151" i="24" a="1"/>
  <c r="T151" i="24" s="1"/>
  <c r="U140" i="24" a="1"/>
  <c r="U140" i="24" s="1"/>
  <c r="T147" i="24" a="1"/>
  <c r="T147" i="24" s="1"/>
  <c r="S142" i="24" a="1"/>
  <c r="S142" i="24" s="1"/>
  <c r="U124" i="24" a="1"/>
  <c r="U124" i="24" s="1"/>
  <c r="G12" i="43"/>
  <c r="K12" i="43"/>
  <c r="G11" i="43"/>
  <c r="K11" i="43"/>
  <c r="G10" i="43"/>
  <c r="K10" i="43"/>
  <c r="K9" i="43"/>
  <c r="G7" i="43"/>
  <c r="G6" i="43"/>
  <c r="G5" i="43"/>
  <c r="G4" i="43"/>
  <c r="K7" i="43"/>
  <c r="J6" i="43" a="1"/>
  <c r="J11" i="43" a="1"/>
  <c r="J12" i="43" a="1"/>
  <c r="J7" i="43" a="1"/>
  <c r="J10" i="43" a="1"/>
  <c r="J4" i="43" a="1"/>
  <c r="J5" i="43" a="1"/>
  <c r="H7" i="43"/>
  <c r="J9"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2" i="24"/>
  <c r="Q123" i="24"/>
  <c r="Q133" i="24"/>
  <c r="Q134" i="24"/>
  <c r="Q136" i="24"/>
  <c r="Q137" i="24"/>
  <c r="Q135" i="24"/>
  <c r="Q138" i="24"/>
  <c r="Q140" i="24"/>
  <c r="Q142" i="24"/>
  <c r="Q143" i="24"/>
  <c r="Q144" i="24"/>
  <c r="Q145" i="24"/>
  <c r="Q146" i="24"/>
  <c r="Q147" i="24"/>
  <c r="Q148" i="24"/>
  <c r="Q149" i="24"/>
  <c r="Q156" i="24"/>
  <c r="Q157" i="24"/>
  <c r="Q159" i="24"/>
  <c r="Q161" i="24"/>
  <c r="Q162" i="24"/>
  <c r="Q163" i="24"/>
  <c r="O149" i="24"/>
  <c r="B185" i="24"/>
  <c r="B149" i="24"/>
  <c r="B156" i="24"/>
  <c r="B135" i="24"/>
  <c r="B138" i="24"/>
  <c r="B140" i="24"/>
  <c r="B142" i="24"/>
  <c r="B143" i="24"/>
  <c r="B134" i="24"/>
  <c r="B133" i="24"/>
  <c r="B159" i="24" l="1"/>
  <c r="B157" i="24"/>
  <c r="B158" i="24"/>
  <c r="B123" i="24"/>
  <c r="B122" i="24"/>
  <c r="B177" i="24"/>
  <c r="B179" i="24"/>
  <c r="B178"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1" i="24" l="1"/>
  <c r="D212" i="24"/>
  <c r="B213" i="24"/>
  <c r="B212" i="24"/>
  <c r="B211" i="24"/>
  <c r="B184" i="24" l="1"/>
  <c r="B176" i="24"/>
  <c r="B169" i="24"/>
  <c r="H12" i="43"/>
  <c r="I12" i="43" l="1"/>
  <c r="B163" i="24" l="1"/>
  <c r="B161" i="24"/>
  <c r="B162" i="24"/>
  <c r="B145" i="24"/>
  <c r="B148" i="24"/>
  <c r="B144" i="24"/>
  <c r="B147" i="24"/>
  <c r="B146" i="24"/>
  <c r="B136" i="24"/>
  <c r="B137" i="24"/>
  <c r="E245" i="24"/>
  <c r="E246" i="24"/>
  <c r="E247" i="24"/>
  <c r="E248" i="24"/>
  <c r="E249" i="24"/>
  <c r="E250" i="24"/>
  <c r="E251" i="24"/>
  <c r="D245" i="24"/>
  <c r="D246" i="24"/>
  <c r="D247" i="24"/>
  <c r="D248" i="24"/>
  <c r="D249" i="24"/>
  <c r="D250" i="24"/>
  <c r="D251" i="24"/>
  <c r="J38" i="24" a="1"/>
  <c r="J37" i="24" a="1"/>
  <c r="J22" i="24" a="1"/>
  <c r="J31" i="24" a="1"/>
  <c r="J29" i="24" a="1"/>
  <c r="J23" i="24" a="1"/>
  <c r="J34" i="24" a="1"/>
  <c r="J20" i="24" a="1"/>
  <c r="J24" i="24" a="1"/>
  <c r="J19" i="24" a="1"/>
  <c r="J32" i="24" a="1"/>
  <c r="J26" i="24" a="1"/>
  <c r="H11" i="43"/>
  <c r="J41" i="24" a="1"/>
  <c r="J39" i="24" a="1"/>
  <c r="J40" i="24" a="1"/>
  <c r="J28" i="24" a="1"/>
  <c r="J35" i="24" a="1"/>
  <c r="J25" i="24" a="1"/>
  <c r="J30" i="24" a="1"/>
  <c r="J42" i="24" a="1"/>
  <c r="J27" i="24" a="1"/>
  <c r="J33" i="24" a="1"/>
  <c r="J36" i="24" a="1"/>
  <c r="J38" i="24" l="1"/>
  <c r="J23" i="24"/>
  <c r="J32" i="24"/>
  <c r="J22" i="24"/>
  <c r="J24" i="24"/>
  <c r="J41" i="24"/>
  <c r="J30" i="24"/>
  <c r="J20" i="24"/>
  <c r="J37" i="24"/>
  <c r="J33" i="24"/>
  <c r="J28" i="24"/>
  <c r="J36" i="24"/>
  <c r="J26" i="24"/>
  <c r="J39" i="24"/>
  <c r="J31" i="24"/>
  <c r="J42" i="24"/>
  <c r="J25" i="24"/>
  <c r="J40" i="24"/>
  <c r="J35" i="24"/>
  <c r="J29" i="24"/>
  <c r="J34" i="24"/>
  <c r="J27" i="24"/>
  <c r="J19" i="24"/>
  <c r="I11" i="43"/>
  <c r="B6" i="43"/>
  <c r="H6" i="43"/>
  <c r="K6" i="43" a="1"/>
  <c r="J21" i="24" a="1"/>
  <c r="J21" i="24" l="1"/>
  <c r="I6" i="43"/>
  <c r="K6" i="43"/>
  <c r="L6" i="43" s="1"/>
  <c r="B4" i="43"/>
  <c r="K4" i="43" a="1"/>
  <c r="K4" i="43" l="1"/>
  <c r="L4" i="43" s="1"/>
  <c r="B47" i="24"/>
  <c r="B53" i="24"/>
  <c r="B54" i="24"/>
  <c r="B56" i="24"/>
  <c r="B219" i="24"/>
  <c r="B220" i="24"/>
  <c r="B226" i="24"/>
  <c r="B227" i="24"/>
  <c r="B228" i="24"/>
  <c r="B229" i="24"/>
  <c r="B230" i="24"/>
  <c r="B231" i="24"/>
  <c r="B245" i="24"/>
  <c r="B246" i="24"/>
  <c r="B247" i="24"/>
  <c r="B248" i="24"/>
  <c r="B249" i="24"/>
  <c r="B250" i="24"/>
  <c r="B251" i="24"/>
  <c r="H16" i="43"/>
  <c r="H14" i="43"/>
  <c r="H10" i="43"/>
  <c r="H13" i="43"/>
  <c r="H4" i="43"/>
  <c r="I16" i="43" l="1"/>
  <c r="I13" i="43"/>
  <c r="I14" i="43"/>
  <c r="I10" i="43"/>
  <c r="I4" i="43"/>
  <c r="F227" i="24"/>
  <c r="F226" i="24"/>
  <c r="F229" i="24"/>
  <c r="F228" i="24"/>
  <c r="F231" i="24"/>
  <c r="F23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tc={8CBC150C-15DB-4F33-9FEE-009F87FE9766}</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 ref="N3" authorId="5" shapeId="0" xr:uid="{8CBC150C-15DB-4F33-9FEE-009F87FE9766}">
      <text>
        <t>[Threaded comment]
Your version of Excel allows you to read this threaded comment; however, any edits to it will get removed if the file is opened in a newer version of Excel. Learn more: https://go.microsoft.com/fwlink/?linkid=870924
Comment:
    Check flag expectations at load_data step</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6"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6"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6"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6"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6"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1"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1"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9"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68"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8"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8"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6"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6"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6"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<sst xmlns="http://schemas.openxmlformats.org/spreadsheetml/2006/main" count="19628" uniqueCount="1310">
  <si>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</si>
  <si>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</si>
  <si>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</si>
  <si>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</si>
  <si>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</si>
  <si>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</si>
  <si>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</si>
  <si>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</si>
  <si>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</si>
  <si>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</si>
  <si>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</si>
  <si>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</si>
  <si>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</si>
  <si>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</si>
  <si>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</si>
  <si>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</si>
  <si>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</si>
  <si>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</si>
  <si>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</si>
  <si>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</si>
  <si>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</si>
  <si>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</si>
  <si>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</si>
  <si>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</si>
  <si>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</si>
  <si>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</si>
  <si>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</si>
  <si>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</si>
  <si>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</si>
  <si>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</si>
  <si>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</si>
  <si>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</si>
  <si>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</si>
  <si>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</si>
  <si>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</si>
  <si>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</si>
  <si>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</si>
  <si>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</si>
  <si>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</si>
  <si>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</si>
  <si>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</si>
  <si>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</si>
  <si>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</si>
  <si>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</si>
  <si>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</si>
  <si>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</si>
  <si>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</si>
  <si>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</si>
  <si>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</si>
  <si>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</si>
  <si>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</si>
  <si>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</si>
  <si>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</si>
  <si>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</si>
  <si>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</si>
  <si>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</si>
  <si>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</si>
  <si>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</si>
  <si>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</si>
  <si>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</si>
  <si>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</si>
  <si>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</si>
  <si>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</si>
  <si>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</si>
  <si>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</si>
  <si>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</si>
  <si>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</si>
  <si>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</si>
  <si>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</si>
  <si>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</si>
  <si>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</si>
  <si>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</si>
  <si>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</si>
  <si>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</si>
  <si>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</si>
  <si>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</si>
  <si>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</si>
  <si>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</si>
  <si>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</si>
  <si>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</si>
  <si>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</si>
  <si>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</si>
  <si>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</si>
  <si>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</si>
  <si>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</si>
  <si>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</si>
  <si>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</si>
  <si>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</si>
  <si>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</si>
  <si>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</si>
  <si>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</si>
  <si>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</si>
  <si>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</si>
  <si>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</si>
  <si>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</si>
  <si>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</si>
  <si>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</si>
  <si>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</si>
  <si>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</si>
  <si>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</si>
  <si>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</si>
  <si>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</si>
  <si>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</si>
  <si>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</si>
  <si>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</si>
  <si>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</si>
  <si>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</si>
  <si>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</si>
  <si>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</si>
  <si>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</si>
  <si>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</si>
  <si>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</si>
  <si>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</si>
  <si>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</si>
  <si>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</si>
  <si>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</si>
  <si>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</si>
  <si>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</si>
  <si>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</si>
  <si>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</si>
  <si>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</si>
  <si>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</si>
  <si>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</si>
  <si>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</si>
  <si>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</si>
  <si>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</si>
  <si>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</si>
  <si>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</si>
  <si>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</si>
  <si>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</si>
  <si>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</si>
  <si>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</si>
  <si>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</si>
  <si>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</si>
  <si>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</si>
  <si>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</si>
  <si>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</si>
  <si>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</si>
  <si>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</si>
  <si>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</si>
  <si>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</si>
  <si>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</si>
  <si>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</si>
  <si>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</si>
  <si>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</si>
  <si>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</si>
  <si>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</si>
  <si>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</si>
  <si>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</si>
  <si>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</si>
  <si>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</si>
  <si>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</si>
  <si>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</si>
  <si>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</si>
  <si>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</si>
  <si>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</si>
  <si>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</si>
  <si>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</si>
  <si>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</si>
  <si>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</si>
  <si>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</si>
  <si>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</si>
  <si>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</si>
  <si>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</si>
  <si>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</si>
  <si>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</si>
  <si>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</si>
  <si>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</si>
  <si>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</si>
  <si>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</si>
  <si>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</si>
  <si>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</si>
  <si>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</si>
  <si>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</si>
  <si>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</si>
  <si>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</si>
  <si>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</si>
  <si>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</si>
  <si>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</si>
  <si>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</si>
  <si>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</si>
  <si>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</si>
  <si>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</si>
  <si>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</si>
  <si>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</si>
  <si>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</si>
  <si>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</si>
  <si>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</si>
  <si>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</si>
  <si>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</si>
  <si>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</si>
  <si>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</si>
  <si>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</si>
  <si>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</si>
  <si>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</si>
  <si>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</si>
  <si>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</si>
  <si>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</si>
  <si>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</si>
  <si>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</si>
  <si>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</si>
  <si>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</si>
  <si>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</si>
  <si>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</si>
  <si>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</si>
  <si>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</si>
  <si>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</si>
  <si>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</si>
  <si>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</si>
  <si>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</si>
  <si>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</si>
  <si>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</si>
  <si>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</si>
  <si>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</si>
  <si>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</si>
  <si>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</si>
  <si>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</si>
  <si>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</si>
  <si>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</si>
  <si>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</si>
  <si>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</si>
  <si>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</si>
  <si>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</si>
  <si>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</si>
  <si>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</si>
  <si>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</si>
  <si>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</si>
  <si>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</si>
  <si>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</si>
  <si>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</si>
  <si>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</si>
  <si>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</si>
  <si>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</si>
  <si>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</si>
  <si>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</si>
  <si>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</si>
  <si>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</si>
  <si>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</si>
  <si>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</si>
  <si>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</si>
  <si>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</si>
  <si>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</si>
  <si>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</si>
  <si>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</si>
  <si>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</si>
  <si>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</si>
  <si>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</si>
  <si>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</si>
  <si>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</si>
  <si>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</si>
  <si>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</si>
  <si>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</si>
  <si>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</si>
  <si>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</si>
  <si>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</si>
  <si>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</si>
  <si>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</si>
  <si>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</si>
  <si>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</si>
  <si>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</si>
  <si>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</si>
  <si>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</si>
  <si>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</si>
  <si>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</si>
  <si>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</si>
  <si>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</si>
  <si>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</si>
  <si>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</si>
  <si>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</si>
  <si>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</si>
  <si>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</si>
  <si>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</si>
  <si>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</si>
  <si>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</si>
  <si>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</si>
  <si>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</si>
  <si>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</si>
  <si>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</si>
  <si>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</si>
  <si>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</si>
  <si>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</si>
  <si>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</si>
  <si>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</si>
  <si>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</si>
  <si>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</si>
  <si>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</si>
  <si>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</si>
  <si>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</si>
  <si>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</si>
  <si>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</si>
  <si>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</si>
  <si>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</si>
  <si>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</si>
  <si>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</si>
  <si>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</si>
  <si>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</si>
  <si>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</si>
  <si>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</si>
  <si>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</si>
  <si>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</si>
  <si>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</si>
  <si>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</si>
  <si>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</si>
  <si>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</si>
  <si>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</si>
  <si>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</si>
  <si>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</si>
  <si>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</si>
  <si>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</si>
  <si>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</si>
  <si>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</si>
  <si>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</si>
  <si>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</si>
  <si>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</si>
  <si>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</si>
  <si>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</si>
  <si>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</si>
  <si>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</si>
  <si>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</si>
  <si>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</si>
  <si>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</si>
  <si>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</si>
  <si>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</si>
  <si>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</si>
  <si>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</si>
  <si>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</si>
  <si>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</si>
  <si>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</si>
  <si>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</si>
  <si>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</si>
  <si>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</si>
  <si>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</si>
  <si>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</si>
  <si>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</si>
  <si>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</si>
  <si>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</si>
  <si>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</si>
  <si>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</si>
  <si>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</si>
  <si>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</si>
  <si>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</si>
  <si>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</si>
  <si>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</si>
  <si>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</si>
  <si>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</si>
  <si>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</si>
  <si>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</si>
  <si>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</si>
  <si>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</si>
  <si>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</si>
  <si>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</si>
  <si>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</si>
  <si>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</si>
  <si>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</si>
  <si>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</si>
  <si>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</si>
  <si>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</si>
  <si>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</si>
  <si>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</si>
  <si>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</si>
  <si>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</si>
  <si>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</si>
  <si>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</si>
  <si>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</si>
  <si>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</si>
  <si>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</si>
  <si>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</si>
  <si>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</si>
  <si>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</si>
  <si>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</si>
  <si>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</si>
  <si>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</si>
  <si>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</si>
  <si>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</si>
  <si>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</si>
  <si>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</si>
  <si>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</si>
  <si>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</si>
  <si>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</si>
  <si>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</si>
  <si>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</si>
  <si>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</si>
  <si>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</si>
  <si>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</si>
  <si>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</si>
  <si>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</si>
  <si>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</si>
  <si>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</si>
  <si>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</si>
  <si>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</si>
  <si>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</si>
  <si>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</si>
  <si>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</si>
  <si>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</si>
  <si>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</si>
  <si>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</si>
  <si>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</si>
  <si>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</si>
  <si>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</si>
  <si>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</si>
  <si>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</si>
  <si>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</si>
  <si>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</si>
  <si>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</si>
  <si>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</si>
  <si>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</si>
  <si>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</si>
  <si>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</si>
  <si>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</si>
  <si>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</si>
  <si>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</si>
  <si>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</si>
  <si>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</si>
  <si>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</si>
  <si>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</si>
  <si>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</si>
  <si>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</si>
  <si>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</si>
  <si>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</si>
  <si>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</si>
  <si>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</si>
  <si>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</si>
  <si>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</si>
  <si>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</si>
  <si>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</si>
  <si>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</si>
  <si>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</si>
  <si>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</si>
  <si>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</si>
  <si>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</si>
  <si>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</si>
  <si>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</si>
  <si>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</si>
  <si>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</si>
  <si>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</si>
  <si>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</si>
  <si>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</si>
  <si>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</si>
  <si>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</si>
  <si>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</si>
  <si>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</si>
  <si>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</si>
  <si>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</si>
  <si>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</si>
  <si>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</si>
  <si>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</si>
  <si>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</si>
  <si>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</si>
  <si>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</si>
  <si>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</si>
  <si>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</si>
  <si>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</si>
  <si>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</si>
  <si>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</si>
  <si>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</si>
  <si>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</si>
  <si>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</si>
  <si>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</si>
  <si>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</si>
  <si>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</si>
  <si>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</si>
  <si>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</si>
  <si>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</si>
  <si>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</si>
  <si>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</si>
  <si>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</si>
  <si>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</si>
  <si>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</si>
  <si>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</si>
  <si>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</si>
  <si>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</si>
  <si>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</si>
  <si>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</si>
  <si>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</si>
  <si>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</si>
  <si>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</si>
  <si>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</si>
  <si>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</si>
  <si>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</si>
  <si>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</si>
  <si>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</si>
  <si>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</si>
  <si>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</si>
  <si>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</si>
  <si>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</si>
  <si>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</si>
  <si>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</si>
  <si>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</si>
  <si>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</si>
  <si>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</si>
  <si>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</si>
  <si>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</si>
  <si>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</si>
  <si>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</si>
  <si>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</si>
  <si>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</si>
  <si>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</si>
  <si>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</si>
  <si>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</si>
  <si>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</si>
  <si>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</si>
  <si>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</si>
  <si>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</si>
  <si>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</si>
  <si>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</si>
  <si>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</si>
  <si>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</si>
  <si>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</si>
  <si>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</si>
  <si>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</si>
  <si>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</si>
  <si>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</si>
  <si>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</si>
  <si>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</si>
  <si>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</si>
  <si>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</si>
  <si>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</si>
  <si>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</si>
  <si>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</si>
  <si>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</si>
  <si>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</si>
  <si>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</si>
  <si>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</si>
  <si>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</si>
  <si>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</si>
  <si>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</si>
  <si>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</si>
  <si>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</si>
  <si>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</si>
  <si>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</si>
  <si>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</si>
  <si>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</si>
  <si>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</si>
  <si>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</si>
  <si>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</si>
  <si>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</si>
  <si>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</si>
  <si>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</si>
  <si>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</si>
  <si>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</si>
  <si>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</si>
  <si>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</si>
  <si>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</si>
  <si>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</si>
  <si>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</si>
  <si>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</si>
  <si>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</si>
  <si>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</si>
  <si>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</si>
  <si>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</si>
  <si>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</si>
  <si>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</si>
  <si>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</si>
  <si>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</si>
  <si>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</si>
  <si>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</si>
  <si>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</si>
  <si>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</si>
  <si>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</si>
  <si>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</si>
  <si>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</si>
  <si>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</si>
  <si>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</si>
  <si>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</si>
  <si>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</si>
  <si>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</si>
  <si>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</si>
  <si>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</si>
  <si>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</si>
  <si>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</si>
  <si>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</si>
  <si>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</si>
  <si>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</si>
  <si>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</si>
  <si>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</si>
  <si>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</si>
  <si>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</si>
  <si>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</si>
  <si>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</si>
  <si>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</si>
  <si>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</si>
  <si>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</si>
  <si>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</si>
  <si>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</si>
  <si>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</si>
  <si>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</si>
  <si>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</si>
  <si>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</si>
  <si>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</si>
  <si>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</si>
  <si>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</si>
  <si>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</si>
  <si>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</si>
  <si>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</si>
  <si>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</si>
  <si>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</si>
  <si>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</si>
  <si>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</si>
  <si>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</si>
  <si>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</si>
  <si>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</si>
  <si>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</si>
  <si>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</si>
  <si>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</si>
  <si>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</si>
  <si>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</si>
  <si>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</si>
  <si>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</si>
  <si>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</si>
  <si>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</si>
  <si>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</si>
  <si>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</si>
  <si>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</si>
  <si>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</si>
  <si>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</si>
  <si>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</si>
  <si>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</si>
  <si>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</si>
  <si>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</si>
  <si>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</si>
  <si>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</si>
  <si>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</si>
  <si>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</si>
  <si>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</si>
  <si>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</si>
  <si>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</si>
  <si>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</si>
  <si>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</si>
  <si>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</si>
  <si>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</si>
  <si>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</si>
  <si>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</si>
  <si>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</si>
  <si>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</si>
  <si>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</si>
  <si>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</si>
  <si>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</si>
  <si>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</si>
  <si>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</si>
  <si>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</si>
  <si>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</si>
  <si>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</si>
  <si>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</si>
  <si>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</si>
  <si>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</si>
  <si>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</si>
  <si>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</si>
  <si>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</si>
  <si>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</si>
  <si>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</si>
  <si>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</si>
  <si>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</si>
  <si>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</si>
  <si>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</si>
  <si>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</si>
  <si>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</si>
  <si>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</si>
  <si>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</si>
  <si>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</si>
  <si>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</si>
  <si>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</si>
  <si>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</si>
  <si>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</si>
  <si>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</si>
  <si>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</si>
  <si>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</si>
  <si>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</si>
  <si>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</si>
  <si>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</si>
  <si>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</si>
  <si>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</si>
  <si>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</si>
  <si>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</si>
  <si>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</si>
  <si>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</si>
  <si>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</si>
  <si>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</si>
  <si>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</si>
  <si>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</si>
  <si>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</si>
  <si>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</si>
  <si>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</si>
  <si>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</si>
  <si>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</si>
  <si>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</si>
  <si>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</si>
  <si>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</si>
  <si>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</si>
  <si>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</si>
  <si>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</si>
  <si>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</si>
  <si>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</si>
  <si>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</si>
  <si>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</si>
  <si>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</si>
  <si>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</si>
  <si>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</si>
  <si>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</si>
  <si>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</si>
  <si>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</si>
  <si>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</si>
  <si>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</si>
  <si>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</si>
  <si>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</si>
  <si>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</si>
  <si>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</si>
  <si>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</si>
  <si>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</si>
  <si>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</si>
  <si>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</si>
  <si>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</si>
  <si>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</si>
  <si>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</si>
  <si>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</si>
  <si>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</si>
  <si>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</si>
  <si>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</si>
  <si>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</si>
  <si>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</si>
  <si>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</si>
  <si>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</si>
  <si>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</si>
  <si>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</si>
  <si>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</si>
  <si>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</si>
  <si>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</si>
  <si>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</si>
  <si>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</si>
  <si>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</si>
  <si>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</si>
  <si>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</si>
  <si>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</si>
  <si>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</si>
  <si>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</si>
  <si>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</si>
  <si>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</si>
  <si>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</si>
  <si>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</si>
  <si>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</si>
  <si>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</si>
  <si>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</si>
  <si>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</si>
  <si>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</si>
  <si>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</si>
  <si>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</si>
  <si>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</si>
  <si>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</si>
  <si>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</si>
  <si>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</si>
  <si>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</si>
  <si>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</si>
  <si>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</si>
  <si>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</si>
  <si>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</si>
  <si>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</si>
  <si>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</si>
  <si>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</si>
  <si>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</si>
  <si>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</si>
  <si>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</si>
  <si>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</si>
  <si>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</si>
  <si>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</si>
  <si>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</si>
  <si>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</si>
  <si>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</si>
  <si>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</si>
  <si>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</si>
  <si>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</si>
  <si>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</si>
  <si>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</si>
  <si>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</si>
  <si>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</si>
  <si>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</si>
  <si>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</si>
  <si>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</si>
  <si>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</si>
  <si>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</si>
  <si>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</si>
  <si>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</si>
  <si>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</si>
  <si>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</si>
  <si>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</si>
  <si>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</si>
  <si>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</si>
  <si>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</si>
  <si>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</si>
  <si>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</si>
  <si>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</si>
  <si>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</si>
  <si>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</si>
  <si>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</si>
  <si>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</si>
  <si>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</si>
  <si>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</si>
  <si>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</si>
  <si>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</si>
  <si>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</si>
  <si>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</si>
  <si>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</si>
  <si>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</si>
  <si>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</si>
  <si>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</si>
  <si>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</si>
  <si>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</si>
  <si>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</si>
  <si>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</si>
  <si>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</si>
  <si>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</si>
  <si>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</si>
  <si>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</si>
  <si>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</si>
  <si>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</si>
  <si>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</si>
  <si>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</si>
  <si>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</si>
  <si>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</si>
  <si>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</si>
  <si>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</si>
  <si>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</si>
  <si>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</si>
  <si>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</si>
  <si>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</si>
  <si>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</si>
  <si>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</si>
  <si>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</si>
  <si>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</si>
  <si>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</si>
  <si>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</si>
  <si>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</si>
  <si>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</si>
  <si>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</si>
  <si>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</si>
  <si>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</si>
  <si>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</si>
  <si>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</si>
  <si>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</si>
  <si>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</si>
  <si>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</si>
  <si>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</si>
  <si>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</si>
  <si>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</si>
  <si>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</si>
  <si>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</si>
  <si>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</si>
  <si>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</si>
  <si>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</si>
  <si>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</si>
  <si>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</si>
  <si>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</si>
  <si>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</si>
  <si>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</si>
  <si>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</si>
  <si>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</si>
  <si>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</si>
  <si>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</si>
  <si>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</si>
  <si>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</si>
  <si>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</si>
  <si>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</si>
  <si>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</si>
  <si>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</si>
  <si>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</si>
  <si>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</si>
  <si>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</si>
  <si>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</si>
  <si>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</si>
  <si>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</si>
  <si>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</si>
  <si>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</si>
  <si>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</si>
  <si>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</si>
  <si>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</si>
  <si>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</si>
  <si>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</si>
  <si>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</si>
  <si>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</si>
  <si>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</si>
  <si>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</si>
  <si>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</si>
  <si>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</si>
  <si>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</si>
  <si>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</si>
  <si>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</si>
  <si>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</si>
  <si>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</si>
  <si>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</si>
  <si>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</si>
  <si>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</si>
  <si>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</si>
  <si>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</si>
  <si>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</si>
  <si>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</si>
  <si>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</si>
  <si>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</si>
  <si>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</si>
  <si>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</si>
  <si>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</si>
  <si>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</si>
  <si>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</si>
  <si>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</si>
  <si>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</si>
  <si>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</si>
  <si>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</si>
  <si>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</si>
  <si>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</si>
  <si>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</si>
  <si>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</si>
  <si>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</si>
  <si>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</si>
  <si>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</si>
  <si>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</si>
  <si>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</si>
  <si>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</si>
  <si>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</si>
  <si>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</si>
  <si>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</si>
  <si>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</si>
  <si>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</si>
  <si>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</si>
  <si>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</si>
  <si>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</si>
  <si>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</si>
  <si>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</si>
  <si>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</si>
  <si>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</si>
  <si>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</si>
  <si>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</si>
  <si>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</si>
  <si>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</si>
  <si>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</si>
  <si>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</si>
  <si>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</si>
  <si>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</si>
  <si>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</si>
  <si>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</si>
  <si>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</si>
  <si>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</si>
  <si>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</si>
  <si>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</si>
  <si>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</si>
  <si>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</si>
  <si>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</si>
  <si>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</si>
  <si>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</si>
  <si>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</si>
  <si>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</si>
  <si>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</si>
  <si>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</si>
  <si>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</si>
  <si>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</si>
  <si>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</si>
  <si>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</si>
  <si>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</si>
  <si>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</si>
  <si>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</si>
  <si>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</si>
  <si>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</si>
  <si>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</si>
  <si>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</si>
  <si>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</si>
  <si>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</si>
  <si>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</si>
  <si>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</si>
  <si>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</si>
  <si>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</si>
  <si>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</si>
  <si>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</si>
  <si>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</si>
  <si>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</si>
  <si>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</si>
  <si>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</si>
  <si>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</si>
  <si>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</si>
  <si>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</si>
  <si>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</si>
  <si>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</si>
  <si>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</si>
  <si>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</si>
  <si>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</si>
  <si>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</si>
  <si>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</si>
  <si>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</si>
  <si>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</si>
  <si>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</si>
  <si>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</si>
  <si>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</si>
  <si>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</si>
  <si>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</si>
  <si>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</si>
  <si>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</si>
  <si>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</si>
  <si>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</si>
  <si>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</si>
  <si>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</si>
  <si>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</si>
  <si>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</si>
  <si>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</si>
  <si>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</si>
  <si>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</si>
  <si>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</si>
  <si>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</si>
  <si>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</si>
  <si>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</si>
  <si>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</si>
  <si>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</si>
  <si>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</si>
  <si>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</si>
  <si>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</si>
  <si>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</si>
  <si>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</si>
  <si>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</si>
  <si>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</si>
  <si>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</si>
  <si>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</si>
  <si>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</si>
  <si>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</si>
  <si>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</si>
  <si>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</si>
  <si>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</si>
  <si>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</si>
  <si>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</si>
  <si>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</si>
  <si>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</si>
  <si>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</si>
  <si>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</si>
  <si>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</si>
  <si>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</si>
  <si>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</si>
  <si>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</si>
  <si>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</si>
  <si>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</si>
  <si>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</si>
  <si>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</si>
  <si>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</si>
  <si>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</si>
  <si>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</si>
  <si>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</si>
  <si>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</si>
  <si>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</si>
  <si>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</si>
  <si>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</si>
  <si>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</si>
  <si>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</si>
  <si>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</si>
  <si>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</si>
  <si>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</si>
  <si>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</si>
  <si>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</si>
  <si>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</si>
  <si>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</si>
  <si>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</si>
  <si>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</si>
  <si>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</si>
  <si>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</si>
  <si>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</si>
  <si>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</si>
  <si>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</si>
  <si>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</si>
  <si>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</si>
  <si>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</si>
  <si>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</si>
  <si>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</si>
  <si>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</si>
  <si>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</si>
  <si>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</si>
  <si>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</si>
  <si>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</si>
  <si>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</si>
  <si>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</si>
  <si>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</si>
  <si>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</si>
  <si>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</si>
  <si>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</si>
  <si>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</si>
  <si>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</si>
  <si>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</si>
  <si>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</si>
  <si>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</si>
  <si>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</si>
  <si>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</si>
  <si>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</si>
  <si>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</si>
  <si>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</si>
  <si>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</si>
  <si>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</si>
  <si>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</si>
  <si>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</si>
  <si>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</si>
  <si>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</si>
  <si>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</si>
  <si>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</si>
  <si>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</si>
  <si>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</si>
  <si>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</si>
  <si>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</si>
  <si>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</si>
  <si>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</si>
  <si>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</si>
  <si>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</si>
  <si>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</si>
  <si>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</si>
  <si>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</si>
  <si>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</si>
  <si>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</si>
  <si>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</si>
  <si>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</si>
  <si>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</si>
  <si>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</si>
  <si>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</si>
  <si>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</si>
  <si>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</si>
  <si>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</si>
  <si>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</si>
  <si>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</si>
  <si>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</si>
  <si>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</si>
  <si>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</si>
  <si>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</si>
  <si>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</si>
  <si>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</si>
  <si>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</si>
  <si>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</si>
  <si>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</si>
  <si>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</si>
  <si>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</si>
  <si>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</si>
  <si>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</si>
  <si>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</si>
  <si>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</si>
  <si>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</si>
  <si>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</si>
  <si>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</si>
  <si>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</si>
  <si>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</si>
  <si>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</si>
  <si>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</si>
  <si>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</si>
  <si>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</si>
  <si>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</si>
  <si>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</si>
  <si>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</si>
  <si>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</si>
  <si>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</si>
  <si>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</si>
  <si>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</si>
  <si>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</si>
  <si>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</si>
  <si>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</si>
  <si>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</si>
  <si>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</si>
  <si>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</si>
  <si>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</si>
  <si>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</si>
  <si>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</si>
  <si>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</si>
  <si>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</si>
  <si>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</si>
  <si>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</si>
  <si>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</si>
  <si>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</si>
  <si>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</si>
  <si>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</si>
  <si>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</si>
  <si>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</si>
  <si>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</si>
  <si>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</si>
  <si>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</si>
  <si>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</si>
  <si>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</si>
  <si>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</si>
  <si>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</si>
  <si>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</si>
  <si>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</si>
  <si>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</si>
  <si>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</si>
  <si>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</si>
  <si>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</si>
  <si>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</si>
  <si>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</si>
  <si>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</si>
  <si>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</si>
  <si>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</si>
  <si>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</si>
  <si>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</si>
  <si>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</si>
  <si>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</si>
  <si>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</si>
  <si>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</si>
  <si>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</si>
  <si>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</si>
  <si>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</si>
  <si>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</si>
  <si>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</si>
  <si>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</si>
  <si>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</si>
  <si>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</si>
  <si>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</si>
  <si>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</si>
  <si>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</si>
  <si>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</si>
  <si>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</si>
  <si>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</si>
  <si>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</si>
  <si>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</si>
  <si>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</si>
  <si>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</si>
  <si>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</si>
  <si>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</si>
  <si>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</si>
  <si>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</si>
  <si>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</si>
  <si>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</si>
  <si>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</si>
  <si>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</si>
  <si>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</si>
  <si>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</si>
  <si>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</si>
  <si>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</si>
  <si>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</si>
  <si>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</si>
  <si>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</si>
  <si>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</si>
  <si>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</si>
  <si>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</si>
  <si>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</si>
  <si>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</si>
  <si>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</si>
  <si>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</si>
  <si>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</si>
  <si>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</si>
  <si>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</si>
  <si>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</si>
  <si>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</si>
  <si>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</si>
  <si>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</si>
  <si>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</si>
  <si>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</si>
  <si>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</si>
  <si>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</si>
  <si>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</si>
  <si>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</si>
  <si>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</si>
  <si>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</si>
  <si>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</si>
  <si>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</si>
  <si>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</si>
  <si>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</si>
  <si>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</si>
  <si>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</si>
  <si>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</si>
  <si>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</si>
  <si>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</si>
  <si>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</si>
  <si>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</si>
  <si>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</si>
  <si>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</si>
  <si>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</si>
  <si>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</si>
  <si>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</si>
  <si>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</si>
  <si>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</si>
  <si>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</si>
  <si>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</si>
  <si>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</si>
  <si>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</si>
  <si>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</si>
  <si>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</si>
  <si>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load_dat_cf</t>
  </si>
  <si>
    <t>TRUE,FALSE,TRUE</t>
  </si>
  <si>
    <t>co_sectorsRef</t>
  </si>
  <si>
    <t>df_sectorsInfo</t>
  </si>
  <si>
    <t>co_impactYearLevels</t>
  </si>
  <si>
    <t>testDev</t>
  </si>
  <si>
    <t>slrExtremes</t>
  </si>
  <si>
    <t>gdp_default</t>
  </si>
  <si>
    <t>pop_default</t>
  </si>
  <si>
    <t>national_pop_default</t>
  </si>
  <si>
    <t>df_mainScalars</t>
  </si>
  <si>
    <t>df_results0</t>
  </si>
  <si>
    <t>Changes if new sector added</t>
  </si>
  <si>
    <t>New sector changes</t>
  </si>
  <si>
    <t>Yes</t>
  </si>
  <si>
    <t>Maybe</t>
  </si>
  <si>
    <t>No</t>
  </si>
  <si>
    <t>New rows for each new sector</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</si>
  <si>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</si>
  <si>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</si>
  <si>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</si>
  <si>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</si>
  <si>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</si>
  <si>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</si>
  <si>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</si>
  <si>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</si>
  <si>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</si>
  <si>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</si>
  <si>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</si>
  <si>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</si>
  <si>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Reference info about sectors. Will have new rows for the new sector</t>
  </si>
  <si>
    <t xml:space="preserve">In theory, yes, but generally, no. We haven't added a new impact year in ages. So let's assume it is no for the purposes of developing the test and revisit this if there is a special case. </t>
  </si>
  <si>
    <t>Info about sectors, reshaped</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</si>
  <si>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</si>
  <si>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for each new sector, impact type,  variant, region, GCM model (including new models),  etc. Will also add rows for any new GCM model for all other combinations</t>
  </si>
  <si>
    <t>Vibrio</t>
  </si>
  <si>
    <t>DirectMedCost</t>
  </si>
  <si>
    <t>LostDays</t>
  </si>
  <si>
    <t>If the sector only has one variant, "variant_id_excel" should be "N/A" and match "variant" column in the scaled impacts table</t>
  </si>
  <si>
    <t>Direct Medical Cost</t>
  </si>
  <si>
    <t>Lost Days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</si>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</sst>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8">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cellStyleXfs>
  <cellXfs count="138">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cellXfs>
  <cellStyles count="58">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Normal 4" xfId="57" xr:uid="{7C69384A-DF67-456F-8C33-B781FE304D4E}"/>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96">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95"/>
    </tableStyle>
    <tableStyle name="Table Style 2" pivot="0" count="2" xr9:uid="{5906E8DD-1157-4888-9A27-3B2DB57DF7A2}">
      <tableStyleElement type="wholeTable" dxfId="294"/>
      <tableStyleElement type="headerRow" dxfId="29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92">
  <autoFilter ref="B9:C34" xr:uid="{DBDF25E7-D35C-4344-9B72-491345FCBF34}"/>
  <tableColumns count="2">
    <tableColumn id="1" xr3:uid="{306AD3FA-EE0B-4D9C-828A-C0B76198AE0B}" name="Worksheet" dataDxfId="29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O20" totalsRowShown="0" headerRowDxfId="290" dataDxfId="289">
  <autoFilter ref="B3:O20" xr:uid="{AD244AAD-EF2A-4E3D-905E-7CC1947F3F1F}"/>
  <sortState xmlns:xlrd2="http://schemas.microsoft.com/office/spreadsheetml/2017/richdata2" ref="B4:O6">
    <sortCondition descending="1" ref="D4:D6"/>
    <sortCondition ref="E4:E6"/>
    <sortCondition ref="C4:C6"/>
  </sortState>
  <tableColumns count="14">
    <tableColumn id="1" xr3:uid="{6892DC4A-A19B-418A-9799-A326D8EAC317}" name="ID" dataDxfId="288">
      <calculatedColumnFormula xml:space="preserve"> ROW( doc_tablesList[[#This Row],[ID]] ) - ROW(doc_tablesList[[#Headers],[ID]] )</calculatedColumnFormula>
    </tableColumn>
    <tableColumn id="2" xr3:uid="{238E4D6F-DBDF-41A4-8350-E77587A7D4B3}" name="Table Name" dataDxfId="287"/>
    <tableColumn id="8" xr3:uid="{D46F7497-B3FD-485E-91E8-C8117D6673FA}" name="Import" dataDxfId="286"/>
    <tableColumn id="3" xr3:uid="{39F2BFBD-30E6-473D-B9E5-9F407D5928C3}" name="Worksheet" dataDxfId="285"/>
    <tableColumn id="9" xr3:uid="{507E67A6-0C2B-4342-A04B-6A8E615993E3}" name="ID_columnName" dataDxfId="284">
      <calculatedColumnFormula xml:space="preserve"> "row_id"</calculatedColumnFormula>
    </tableColumn>
    <tableColumn id="4" xr3:uid="{961C935C-163D-4860-BA16-6CB492916203}" name="Header Row" dataDxfId="28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82">
      <calculatedColumnFormula xml:space="preserve"> MAX( INDIRECT( _xlfn.TEXTJOIN( "", , doc_tablesList[[#This Row],[Table Name]], "[", doc_tablesList[[#This Row],[ID_columnName]], "]" ) ) )</calculatedColumnFormula>
    </tableColumn>
    <tableColumn id="13" xr3:uid="{F53E64F1-7445-4927-A376-2FB765265648}" name="Last Row" dataDxfId="281">
      <calculatedColumnFormula xml:space="preserve"> doc_tablesList[[#This Row],[Number of Data Rows]] + doc_tablesList[[#This Row],[Header Row]]</calculatedColumnFormula>
    </tableColumn>
    <tableColumn id="6" xr3:uid="{86A51CF5-A3BA-4019-9C90-7A94C7FBA534}" name="id_colIndex" dataDxfId="280">
      <calculatedColumnFormula array="1" xml:space="preserve"> INDEX( COLUMN( INDIRECT( doc_tablesList[[#This Row],[Table Name]] &amp; "[" &amp; doc_tablesList[[#This Row],[ID_columnName]] &amp; "]" ) ), 1 )</calculatedColumnFormula>
    </tableColumn>
    <tableColumn id="7" xr3:uid="{DD29767F-0B22-4C97-9012-467EF6380323}" name="last_colIndex" dataDxfId="279">
      <calculatedColumnFormula array="1" xml:space="preserve"> MAX( COLUMN( INDIRECT( doc_tablesList[[#This Row],[Table Name]] ) ) )</calculatedColumnFormula>
    </tableColumn>
    <tableColumn id="12" xr3:uid="{7F09C7E5-85E6-4334-8C65-926F0EE13A13}" name="num_tableCols" dataDxfId="278">
      <calculatedColumnFormula xml:space="preserve"> doc_tablesList[[#This Row],[last_colIndex]] - doc_tablesList[[#This Row],[id_colIndex]] + 1</calculatedColumnFormula>
    </tableColumn>
    <tableColumn id="11" xr3:uid="{C4016964-772D-4CB1-A4CA-7E815387BA94}" name="excludeCol_ids" dataDxfId="277"/>
    <tableColumn id="16" xr3:uid="{6BF3CF42-2FF5-4FD2-99CF-FDA36A624043}" name="load_dat_cf" dataDxfId="276"/>
    <tableColumn id="10" xr3:uid="{1AD286DF-FF1E-4EA7-92C2-04966DE58B94}" name="Notes" dataDxfId="275"/>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F599F9-059E-4113-B76C-F6C9720B9AA2}" name="testDev" displayName="testDev" ref="B3:E28" totalsRowShown="0" headerRowDxfId="274" dataDxfId="273">
  <autoFilter ref="B3:E28" xr:uid="{52F599F9-059E-4113-B76C-F6C9720B9AA2}"/>
  <sortState xmlns:xlrd2="http://schemas.microsoft.com/office/spreadsheetml/2017/richdata2" ref="B4:E6">
    <sortCondition descending="1" ref="D4:D6"/>
    <sortCondition ref="E4:E6"/>
    <sortCondition ref="C4:C6"/>
  </sortState>
  <tableColumns count="4">
    <tableColumn id="1" xr3:uid="{6680ADC0-D200-4874-8D14-A98BDC9F8832}" name="row_id" dataDxfId="272">
      <calculatedColumnFormula xml:space="preserve"> ROW( testDev[[#This Row],[row_id]] ) - ROW(testDev[[#Headers],[row_id]] )</calculatedColumnFormula>
    </tableColumn>
    <tableColumn id="2" xr3:uid="{53836AF5-FEC4-4F3E-A756-ACEFF1ECCDD4}" name="Table Name" dataDxfId="271"/>
    <tableColumn id="8" xr3:uid="{5DF690EA-CCC5-48E8-AEAA-C18E36744EA0}" name="Changes if new sector added" dataDxfId="270"/>
    <tableColumn id="3" xr3:uid="{1622F49E-A666-41A9-A543-837A83D6EB79}" name="New sector changes" dataDxfId="269"/>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2" totalsRowShown="0" headerRowDxfId="265" dataDxfId="263" headerRowBorderDxfId="264" tableBorderDxfId="262" totalsRowBorderDxfId="261">
  <sortState xmlns:xlrd2="http://schemas.microsoft.com/office/spreadsheetml/2017/richdata2" ref="B19:P42">
    <sortCondition ref="D19:D42"/>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8:N220"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44:E251"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25:G239"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6:F70" totalsRowShown="0" headerRowDxfId="201" dataDxfId="200">
  <autoFilter ref="B46:F70" xr:uid="{965CD6B2-887D-46C8-9D98-6C6AECBC7B1A}"/>
  <sortState xmlns:xlrd2="http://schemas.microsoft.com/office/spreadsheetml/2017/richdata2" ref="B47:F70">
    <sortCondition ref="C47:C70"/>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controlTables!E$46 ) = data_scaledImpacts[impactYear] ), --( co_impactYears[[#This Row],[sector_id]] = data_scaledImpacts[sector] ) ) &gt; 0, "", controlTables!D$46  )</calculatedColumnFormula>
    </tableColumn>
    <tableColumn id="5" xr3:uid="{EB302892-BCFD-4CA5-B470-8D81C8E73DDE}" name="2010" dataDxfId="193" totalsRowDxfId="192">
      <calculatedColumnFormula array="1" xml:space="preserve"> IF( SUMPRODUCT( --( VALUE( controlTables!E$46 ) = data_scaledImpacts[impactYear] ), --( co_impactYears[[#This Row],[sector_id]] = data_scaledImpacts[sector] ) ) &gt; 0, VALUE( controlTables!E$46 ), "" )</calculatedColumnFormula>
    </tableColumn>
    <tableColumn id="6" xr3:uid="{FADA0A2C-2C06-4E27-9064-B329CB26787D}" name="2090" dataDxfId="191" totalsRowDxfId="190">
      <calculatedColumnFormula array="1" xml:space="preserve"> IF( SUMPRODUCT( --( VALUE( controlTables!F$46 ) = data_scaledImpacts[impactYear] ), --( co_impactYears[[#This Row],[sector_id]] = data_scaledImpacts[sector] ) ) &gt; 0, VALUE( controlTables!F$46 ),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1:U163" totalsRowShown="0" headerRowDxfId="189" dataDxfId="188">
  <autoFilter ref="B121:U163" xr:uid="{E446364F-959A-4BFF-80B5-CD65050C4865}"/>
  <sortState xmlns:xlrd2="http://schemas.microsoft.com/office/spreadsheetml/2017/richdata2" ref="B122:U163">
    <sortCondition ref="C122:C163"/>
    <sortCondition ref="D122:D163"/>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8:K197" totalsRowShown="0" headerRowDxfId="167" dataDxfId="166">
  <sortState xmlns:xlrd2="http://schemas.microsoft.com/office/spreadsheetml/2017/richdata2" ref="B169:K197">
    <sortCondition ref="E169:E197"/>
    <sortCondition ref="C169:C197"/>
  </sortState>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0:D213"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6:K117" totalsRowShown="0" headerRowDxfId="150" dataDxfId="149">
  <autoFilter ref="B76:K117" xr:uid="{2B645CB4-F641-4C38-A983-F38F00FA7B52}"/>
  <sortState xmlns:xlrd2="http://schemas.microsoft.com/office/spreadsheetml/2017/richdata2" ref="B77:K117">
    <sortCondition ref="C77:C117"/>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2:E205"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6:L260"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84" dataDxfId="83">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43" totalsRowShown="0" headerRowDxfId="75">
  <autoFilter ref="A1:P3043"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 ref="N3" dT="2023-01-20T18:01:19.03" personId="{00000000-0000-0000-0000-000000000000}" id="{8CBC150C-15DB-4F33-9FEE-009F87FE9766}">
    <text>Check flag expectations at load_data step</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6" dT="2021-01-25T18:27:33.65" personId="{00000000-0000-0000-0000-000000000000}" id="{40274E0A-9A04-480D-A5E8-2C38F8B3CAD3}">
    <text>Empty values are replaced with "NA" in the R tool.</text>
  </threadedComment>
  <threadedComment ref="E76" dT="2022-09-13T14:35:47.65" personId="{00000000-0000-0000-0000-000000000000}" id="{61FF9366-C253-4143-8900-DE7FDB924463}">
    <text>No spaces in this ID!</text>
  </threadedComment>
  <threadedComment ref="F76" dT="2021-01-25T18:27:05.88" personId="{00000000-0000-0000-0000-000000000000}" id="{542BB73C-7B7B-47C8-9756-BF410F525304}">
    <text>"N/A" is converted to "NA" in the R Tool</text>
  </threadedComment>
  <threadedComment ref="G76"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6" dT="2021-04-02T15:33:36.18" personId="{00000000-0000-0000-0000-000000000000}" id="{3962DDEC-520D-4477-AB4D-6A758B04F9CC}">
    <text>Boolean field -- indicates whether a sector includes sub-impact estimates. See sector table above for list of sub-impact estimates.</text>
  </threadedComment>
  <threadedComment ref="F121" dT="2021-01-25T18:27:53.76" personId="{00000000-0000-0000-0000-000000000000}" id="{46412BAC-F8AA-4C6A-9657-79D004ABECB6}">
    <text>Empty values are replaced with "NA" in the R tool.</text>
  </threadedComment>
  <threadedComment ref="R121" dT="2021-01-25T18:07:09.78" personId="{00000000-0000-0000-0000-000000000000}" id="{CEA9DDE6-3350-41DC-8E42-E0F398550E2B}">
    <text>Check presence of data in the table.</text>
  </threadedComment>
  <threadedComment ref="I139" dT="2021-04-29T18:53:19.81" personId="{00000000-0000-0000-0000-000000000000}" id="{B944EC01-36D0-40EC-99E6-BA8270B055AE}">
    <text>May add a physical scalar in the future - total regional property value</text>
  </threadedComment>
  <threadedComment ref="I139" dT="2021-04-29T18:53:45.21" personId="{00000000-0000-0000-0000-000000000000}" id="{D0F6E8CF-0610-4E7B-8A56-BC47CE157016}" parentId="{B944EC01-36D0-40EC-99E6-BA8270B055AE}">
    <text>For now keeping it without, for consistency with coastal properties</text>
  </threadedComment>
  <threadedComment ref="F168"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8" dT="2021-02-11T17:01:11.40" personId="{00000000-0000-0000-0000-000000000000}" id="{74E8C379-DF77-4FAE-8C13-4D0000C68271}">
    <text>Year when change and impacts are zero</text>
  </threadedComment>
  <threadedComment ref="K218" dT="2021-02-15T18:58:52.31" personId="{00000000-0000-0000-0000-000000000000}" id="{984021BA-DD3F-4758-AAFF-698CBFB1E97F}">
    <text>Maximum value to extrapolate to, for models that go up to the maximum output value.</text>
  </threadedComment>
  <threadedComment ref="F256" dT="2021-03-30T17:50:58.78" personId="{00000000-0000-0000-0000-000000000000}" id="{A6091107-2825-473E-BBBE-411522F90494}">
    <text>Name of argument to import_inputs</text>
  </threadedComment>
  <threadedComment ref="G256" dT="2021-03-30T17:49:55.46" personId="{00000000-0000-0000-0000-000000000000}" id="{A03B3CB5-A1AE-46DC-B1DB-A9148D8693C3}">
    <text>Name of list element name of input to tempBin</text>
  </threadedComment>
  <threadedComment ref="L256"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microsoft.com/office/2017/10/relationships/threadedComment" Target="../threadedComments/threadedComment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56" sqref="C56"/>
    </sheetView>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20"/>
  <sheetViews>
    <sheetView topLeftCell="B4" workbookViewId="0">
      <pane xSplit="2" topLeftCell="H1" activePane="topRight" state="frozen"/>
      <selection activeCell="B1" sqref="B1"/>
      <selection pane="topRight" activeCell="H6" sqref="H6"/>
    </sheetView>
  </sheetViews>
  <sheetFormatPr defaultRowHeight="14.5" x14ac:dyDescent="0.35"/>
  <cols>
    <col min="1" max="1" width="11.81640625" customWidth="1"/>
    <col min="3" max="3" width="22.81640625" customWidth="1"/>
    <col min="4" max="14" width="14.54296875" customWidth="1"/>
    <col min="15" max="15" width="60.54296875" style="20" customWidth="1"/>
    <col min="16" max="16" width="14.54296875" customWidth="1"/>
    <col min="17" max="17" width="60.54296875" customWidth="1"/>
    <col min="18" max="18" width="15.7265625" customWidth="1"/>
  </cols>
  <sheetData>
    <row r="1" spans="1:15" x14ac:dyDescent="0.35">
      <c r="A1" t="s">
        <v>245</v>
      </c>
      <c r="B1" s="4" t="s">
        <v>246</v>
      </c>
    </row>
    <row r="2" spans="1:15" x14ac:dyDescent="0.35">
      <c r="B2" s="4"/>
    </row>
    <row r="3" spans="1:15"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31" t="s">
        <v>1268</v>
      </c>
      <c r="O3" s="12" t="s">
        <v>229</v>
      </c>
    </row>
    <row r="4" spans="1:15"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18</v>
      </c>
      <c r="H4" s="62">
        <f ca="1" xml:space="preserve"> MAX( INDIRECT( _xlfn.TEXTJOIN( "", , doc_tablesList[[#This Row],[Table Name]], "[", doc_tablesList[[#This Row],[ID_columnName]], "]" ) ) )</f>
        <v>24</v>
      </c>
      <c r="I4" s="62">
        <f ca="1" xml:space="preserve"> doc_tablesList[[#This Row],[Number of Data Rows]] + doc_tablesList[[#This Row],[Header Row]]</f>
        <v>42</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16</v>
      </c>
      <c r="L4" s="62">
        <f ca="1" xml:space="preserve"> doc_tablesList[[#This Row],[last_colIndex]] - doc_tablesList[[#This Row],[id_colIndex]] + 1</f>
        <v>15</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84" t="s">
        <v>1269</v>
      </c>
      <c r="O4" s="83" t="s">
        <v>1237</v>
      </c>
    </row>
    <row r="5" spans="1:15"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1097</v>
      </c>
      <c r="I5" s="62">
        <f ca="1" xml:space="preserve"> doc_tablesList[[#This Row],[Number of Data Rows]] + doc_tablesList[[#This Row],[Header Row]]</f>
        <v>1098</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4" t="s">
        <v>1269</v>
      </c>
      <c r="O5" s="83" t="s">
        <v>252</v>
      </c>
    </row>
    <row r="6" spans="1:15"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3042</v>
      </c>
      <c r="I6" s="62">
        <f ca="1" xml:space="preserve"> doc_tablesList[[#This Row],[Number of Data Rows]] + doc_tablesList[[#This Row],[Header Row]]</f>
        <v>3043</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4" t="s">
        <v>1269</v>
      </c>
      <c r="O6" s="83" t="s">
        <v>954</v>
      </c>
    </row>
    <row r="7" spans="1:15"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4" t="s">
        <v>1269</v>
      </c>
      <c r="O7" s="83" t="s">
        <v>830</v>
      </c>
    </row>
    <row r="8" spans="1:15"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4" t="s">
        <v>1269</v>
      </c>
      <c r="O8" s="83"/>
    </row>
    <row r="9" spans="1:15"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76</v>
      </c>
      <c r="H9" s="62">
        <f ca="1" xml:space="preserve"> MAX( INDIRECT( _xlfn.TEXTJOIN( "", , doc_tablesList[[#This Row],[Table Name]], "[", doc_tablesList[[#This Row],[ID_columnName]], "]" ) ) )</f>
        <v>41</v>
      </c>
      <c r="I9" s="62">
        <f ca="1" xml:space="preserve"> doc_tablesList[[#This Row],[Number of Data Rows]] + doc_tablesList[[#This Row],[Header Row]]</f>
        <v>117</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4" t="s">
        <v>1269</v>
      </c>
      <c r="O9" s="83" t="s">
        <v>1236</v>
      </c>
    </row>
    <row r="10" spans="1:15"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46</v>
      </c>
      <c r="H10" s="62">
        <f ca="1" xml:space="preserve"> MAX( INDIRECT( _xlfn.TEXTJOIN( "", , doc_tablesList[[#This Row],[Table Name]], "[", doc_tablesList[[#This Row],[ID_columnName]], "]" ) ) )</f>
        <v>24</v>
      </c>
      <c r="I10" s="62">
        <f ca="1" xml:space="preserve"> doc_tablesList[[#This Row],[Number of Data Rows]] + doc_tablesList[[#This Row],[Header Row]]</f>
        <v>70</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4" t="s">
        <v>1269</v>
      </c>
      <c r="O10" s="83" t="s">
        <v>937</v>
      </c>
    </row>
    <row r="11" spans="1:15"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121</v>
      </c>
      <c r="H11" s="62">
        <f ca="1" xml:space="preserve"> MAX( INDIRECT( _xlfn.TEXTJOIN( "", , doc_tablesList[[#This Row],[Table Name]], "[", doc_tablesList[[#This Row],[ID_columnName]], "]" ) ) )</f>
        <v>42</v>
      </c>
      <c r="I11" s="62">
        <f ca="1" xml:space="preserve"> doc_tablesList[[#This Row],[Number of Data Rows]] + doc_tablesList[[#This Row],[Header Row]]</f>
        <v>163</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4" t="s">
        <v>1269</v>
      </c>
      <c r="O11" s="83" t="s">
        <v>936</v>
      </c>
    </row>
    <row r="12" spans="1:15"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168</v>
      </c>
      <c r="H12" s="62">
        <f ca="1" xml:space="preserve"> MAX( INDIRECT( _xlfn.TEXTJOIN( "", , doc_tablesList[[#This Row],[Table Name]], "[", doc_tablesList[[#This Row],[ID_columnName]], "]" ) ) )</f>
        <v>29</v>
      </c>
      <c r="I12" s="62">
        <f ca="1" xml:space="preserve"> doc_tablesList[[#This Row],[Number of Data Rows]] + doc_tablesList[[#This Row],[Header Row]]</f>
        <v>197</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4" t="s">
        <v>1269</v>
      </c>
      <c r="O12" s="83" t="s">
        <v>938</v>
      </c>
    </row>
    <row r="13" spans="1:15"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244</v>
      </c>
      <c r="H13" s="62">
        <f ca="1" xml:space="preserve"> MAX( INDIRECT( _xlfn.TEXTJOIN( "", , doc_tablesList[[#This Row],[Table Name]], "[", doc_tablesList[[#This Row],[ID_columnName]], "]" ) ) )</f>
        <v>7</v>
      </c>
      <c r="I13" s="62">
        <f ca="1" xml:space="preserve"> doc_tablesList[[#This Row],[Number of Data Rows]] + doc_tablesList[[#This Row],[Header Row]]</f>
        <v>251</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4" t="s">
        <v>1269</v>
      </c>
      <c r="O13" s="83" t="s">
        <v>939</v>
      </c>
    </row>
    <row r="14" spans="1:15"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225</v>
      </c>
      <c r="H14" s="62">
        <f ca="1" xml:space="preserve"> MAX( INDIRECT( _xlfn.TEXTJOIN( "", , doc_tablesList[[#This Row],[Table Name]], "[", doc_tablesList[[#This Row],[ID_columnName]], "]" ) ) )</f>
        <v>14</v>
      </c>
      <c r="I14" s="62">
        <f ca="1" xml:space="preserve"> doc_tablesList[[#This Row],[Number of Data Rows]] + doc_tablesList[[#This Row],[Header Row]]</f>
        <v>239</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4" t="s">
        <v>1269</v>
      </c>
      <c r="O14" s="83" t="s">
        <v>940</v>
      </c>
    </row>
    <row r="15" spans="1:15" x14ac:dyDescent="0.35">
      <c r="B15" s="7">
        <f xml:space="preserve"> ROW( doc_tablesList[[#This Row],[ID]] ) - ROW(doc_tablesList[[#Headers],[ID]] )</f>
        <v>12</v>
      </c>
      <c r="C15" s="14" t="s">
        <v>918</v>
      </c>
      <c r="D15" s="58">
        <v>1</v>
      </c>
      <c r="E15" s="14" t="s">
        <v>971</v>
      </c>
      <c r="F15" s="58" t="str">
        <f t="shared" ref="F15:F17" si="2" xml:space="preserve"> "row_id"</f>
        <v>row_id</v>
      </c>
      <c r="G15" s="62" cm="1">
        <f t="array" aca="1" ref="G15" ca="1" xml:space="preserve"> INDEX( ROW( INDIRECT( _xlfn.TEXTJOIN( "", , doc_tablesList[[#This Row],[Table Name]], "[[#Headers],[", doc_tablesList[[#This Row],[ID_columnName]], "]]" ) ) ), 1 )</f>
        <v>202</v>
      </c>
      <c r="H15" s="62">
        <f ca="1" xml:space="preserve"> MAX( INDIRECT( _xlfn.TEXTJOIN( "", , doc_tablesList[[#This Row],[Table Name]], "[", doc_tablesList[[#This Row],[ID_columnName]], "]" ) ) )</f>
        <v>3</v>
      </c>
      <c r="I15" s="62">
        <f ca="1" xml:space="preserve"> doc_tablesList[[#This Row],[Number of Data Rows]] + doc_tablesList[[#This Row],[Header Row]]</f>
        <v>205</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4" t="s">
        <v>1269</v>
      </c>
      <c r="O15" s="83" t="s">
        <v>941</v>
      </c>
    </row>
    <row r="16" spans="1:15"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218</v>
      </c>
      <c r="H16" s="62">
        <f ca="1" xml:space="preserve"> MAX( INDIRECT( _xlfn.TEXTJOIN( "", , doc_tablesList[[#This Row],[Table Name]], "[", doc_tablesList[[#This Row],[ID_columnName]], "]" ) ) )</f>
        <v>2</v>
      </c>
      <c r="I16" s="62">
        <f ca="1" xml:space="preserve"> doc_tablesList[[#This Row],[Number of Data Rows]] + doc_tablesList[[#This Row],[Header Row]]</f>
        <v>220</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4" t="s">
        <v>1269</v>
      </c>
      <c r="O16" s="83" t="s">
        <v>1000</v>
      </c>
    </row>
    <row r="17" spans="2:15"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256</v>
      </c>
      <c r="H17" s="62">
        <f ca="1" xml:space="preserve"> MAX( INDIRECT( _xlfn.TEXTJOIN( "", , doc_tablesList[[#This Row],[Table Name]], "[", doc_tablesList[[#This Row],[ID_columnName]], "]" ) ) )</f>
        <v>4</v>
      </c>
      <c r="I17" s="62">
        <f ca="1" xml:space="preserve"> doc_tablesList[[#This Row],[Number of Data Rows]] + doc_tablesList[[#This Row],[Header Row]]</f>
        <v>260</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4" t="s">
        <v>1269</v>
      </c>
      <c r="O17" s="83" t="s">
        <v>1067</v>
      </c>
    </row>
    <row r="18" spans="2:15" x14ac:dyDescent="0.35">
      <c r="B18" s="7">
        <f xml:space="preserve"> ROW( doc_tablesList[[#This Row],[ID]] ) - ROW(doc_tablesList[[#Headers],[ID]] )</f>
        <v>15</v>
      </c>
      <c r="C18" s="14" t="s">
        <v>1158</v>
      </c>
      <c r="D18" s="58">
        <v>1</v>
      </c>
      <c r="E18" s="14" t="s">
        <v>1158</v>
      </c>
      <c r="F18" s="58" t="str">
        <f xml:space="preserve"> "row_id"</f>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606</v>
      </c>
      <c r="I18" s="62">
        <f ca="1" xml:space="preserve"> doc_tablesList[[#This Row],[Number of Data Rows]] + doc_tablesList[[#This Row],[Header Row]]</f>
        <v>607</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48</v>
      </c>
      <c r="L18" s="62">
        <f ca="1" xml:space="preserve"> doc_tablesList[[#This Row],[last_colIndex]] - doc_tablesList[[#This Row],[id_colIndex]] + 1</f>
        <v>48</v>
      </c>
      <c r="M18" s="84"/>
      <c r="N18" s="84"/>
      <c r="O18" s="83"/>
    </row>
    <row r="19" spans="2:15" x14ac:dyDescent="0.35">
      <c r="B19" s="7">
        <f xml:space="preserve"> ROW( doc_tablesList[[#This Row],[ID]] ) - ROW(doc_tablesList[[#Headers],[ID]] )</f>
        <v>16</v>
      </c>
      <c r="C19" s="14" t="s">
        <v>1065</v>
      </c>
      <c r="D19" s="58">
        <v>1</v>
      </c>
      <c r="E19" s="14" t="s">
        <v>1065</v>
      </c>
      <c r="F19" s="58" t="str">
        <f xml:space="preserve"> "row_id"</f>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101</v>
      </c>
      <c r="I19" s="62">
        <f ca="1" xml:space="preserve"> doc_tablesList[[#This Row],[Number of Data Rows]] + doc_tablesList[[#This Row],[Header Row]]</f>
        <v>102</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9</v>
      </c>
      <c r="L19" s="62">
        <f ca="1" xml:space="preserve"> doc_tablesList[[#This Row],[last_colIndex]] - doc_tablesList[[#This Row],[id_colIndex]] + 1</f>
        <v>9</v>
      </c>
      <c r="M19" s="84"/>
      <c r="N19" s="84"/>
      <c r="O19" s="83"/>
    </row>
    <row r="20" spans="2:15" x14ac:dyDescent="0.35">
      <c r="B20" s="7">
        <f xml:space="preserve"> ROW( doc_tablesList[[#This Row],[ID]] ) - ROW(doc_tablesList[[#Headers],[ID]] )</f>
        <v>17</v>
      </c>
      <c r="C20" s="14" t="s">
        <v>1273</v>
      </c>
      <c r="D20" s="58">
        <v>1</v>
      </c>
      <c r="E20" s="14" t="s">
        <v>1273</v>
      </c>
      <c r="F20" s="58" t="str">
        <f xml:space="preserve"> "row_id"</f>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4"/>
      <c r="O20" s="83"/>
    </row>
  </sheetData>
  <phoneticPr fontId="10" type="noConversion"/>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5D95-2AF1-4EB6-8E07-F91C30FC7A39}">
  <sheetPr>
    <tabColor theme="5" tint="0.39997558519241921"/>
  </sheetPr>
  <dimension ref="A1:E28"/>
  <sheetViews>
    <sheetView topLeftCell="A17" workbookViewId="0">
      <selection activeCell="E6" sqref="E6"/>
    </sheetView>
  </sheetViews>
  <sheetFormatPr defaultColWidth="9.1796875" defaultRowHeight="14.5" x14ac:dyDescent="0.35"/>
  <cols>
    <col min="1" max="1" width="11.81640625" customWidth="1"/>
    <col min="3" max="3" width="22.81640625" customWidth="1"/>
    <col min="4" max="4" width="14.54296875" customWidth="1"/>
    <col min="5" max="5" width="95" customWidth="1"/>
    <col min="6" max="6" width="12.1796875" bestFit="1" customWidth="1"/>
    <col min="7" max="7" width="14.54296875" customWidth="1"/>
    <col min="8" max="8" width="60.54296875" customWidth="1"/>
    <col min="9" max="9" width="15.7265625" customWidth="1"/>
  </cols>
  <sheetData>
    <row r="1" spans="1:5" x14ac:dyDescent="0.35">
      <c r="A1" t="s">
        <v>245</v>
      </c>
      <c r="B1" s="4" t="s">
        <v>246</v>
      </c>
    </row>
    <row r="2" spans="1:5" x14ac:dyDescent="0.35">
      <c r="B2" s="4"/>
    </row>
    <row r="3" spans="1:5" ht="26" x14ac:dyDescent="0.35">
      <c r="B3" s="12" t="s">
        <v>780</v>
      </c>
      <c r="C3" s="12" t="s">
        <v>239</v>
      </c>
      <c r="D3" s="31" t="s">
        <v>1280</v>
      </c>
      <c r="E3" s="12" t="s">
        <v>1281</v>
      </c>
    </row>
    <row r="4" spans="1:5" x14ac:dyDescent="0.35">
      <c r="B4" s="7">
        <f xml:space="preserve"> ROW( testDev[[#This Row],[row_id]] ) - ROW(testDev[[#Headers],[row_id]] )</f>
        <v>1</v>
      </c>
      <c r="C4" s="14" t="s">
        <v>243</v>
      </c>
      <c r="D4" s="58" t="s">
        <v>1282</v>
      </c>
      <c r="E4" s="83" t="s">
        <v>1285</v>
      </c>
    </row>
    <row r="5" spans="1:5" ht="31.5" x14ac:dyDescent="0.35">
      <c r="B5" s="7">
        <f xml:space="preserve"> ROW( testDev[[#This Row],[row_id]] ) - ROW(testDev[[#Headers],[row_id]] )</f>
        <v>2</v>
      </c>
      <c r="C5" s="14" t="s">
        <v>836</v>
      </c>
      <c r="D5" s="58" t="s">
        <v>1283</v>
      </c>
      <c r="E5" s="83" t="s">
        <v>1286</v>
      </c>
    </row>
    <row r="6" spans="1:5" ht="31.5" x14ac:dyDescent="0.35">
      <c r="B6" s="7">
        <f xml:space="preserve"> ROW( testDev[[#This Row],[row_id]] ) - ROW(testDev[[#Headers],[row_id]] )</f>
        <v>3</v>
      </c>
      <c r="C6" s="14" t="s">
        <v>908</v>
      </c>
      <c r="D6" s="58" t="s">
        <v>1282</v>
      </c>
      <c r="E6" s="83" t="s">
        <v>1287</v>
      </c>
    </row>
    <row r="7" spans="1:5" x14ac:dyDescent="0.35">
      <c r="B7" s="7">
        <f xml:space="preserve"> ROW( testDev[[#This Row],[row_id]] ) - ROW(testDev[[#Headers],[row_id]] )</f>
        <v>4</v>
      </c>
      <c r="C7" s="14" t="s">
        <v>828</v>
      </c>
      <c r="D7" s="58" t="s">
        <v>1284</v>
      </c>
      <c r="E7" s="83" t="s">
        <v>1288</v>
      </c>
    </row>
    <row r="8" spans="1:5" x14ac:dyDescent="0.35">
      <c r="B8" s="7">
        <f xml:space="preserve"> ROW( testDev[[#This Row],[row_id]] ) - ROW(testDev[[#Headers],[row_id]] )</f>
        <v>5</v>
      </c>
      <c r="C8" s="14" t="s">
        <v>1157</v>
      </c>
      <c r="D8" s="58" t="s">
        <v>1284</v>
      </c>
      <c r="E8" s="83" t="s">
        <v>1288</v>
      </c>
    </row>
    <row r="9" spans="1:5" x14ac:dyDescent="0.35">
      <c r="B9" s="7">
        <f xml:space="preserve"> ROW( testDev[[#This Row],[row_id]] ) - ROW(testDev[[#Headers],[row_id]] )</f>
        <v>6</v>
      </c>
      <c r="C9" s="14" t="s">
        <v>1235</v>
      </c>
      <c r="D9" s="58" t="s">
        <v>1282</v>
      </c>
      <c r="E9" s="83" t="s">
        <v>1289</v>
      </c>
    </row>
    <row r="10" spans="1:5" x14ac:dyDescent="0.35">
      <c r="B10" s="7">
        <f xml:space="preserve"> ROW( testDev[[#This Row],[row_id]] ) - ROW(testDev[[#Headers],[row_id]] )</f>
        <v>7</v>
      </c>
      <c r="C10" s="14" t="s">
        <v>837</v>
      </c>
      <c r="D10" s="58" t="s">
        <v>1282</v>
      </c>
      <c r="E10" s="83" t="s">
        <v>1290</v>
      </c>
    </row>
    <row r="11" spans="1:5" x14ac:dyDescent="0.35">
      <c r="B11" s="7">
        <f xml:space="preserve"> ROW( testDev[[#This Row],[row_id]] ) - ROW(testDev[[#Headers],[row_id]] )</f>
        <v>8</v>
      </c>
      <c r="C11" s="14" t="s">
        <v>838</v>
      </c>
      <c r="D11" s="58" t="s">
        <v>1282</v>
      </c>
      <c r="E11" s="83" t="s">
        <v>1291</v>
      </c>
    </row>
    <row r="12" spans="1:5" ht="21" x14ac:dyDescent="0.35">
      <c r="B12" s="7">
        <f xml:space="preserve"> ROW( testDev[[#This Row],[row_id]] ) - ROW(testDev[[#Headers],[row_id]] )</f>
        <v>9</v>
      </c>
      <c r="C12" s="14" t="s">
        <v>839</v>
      </c>
      <c r="D12" s="58" t="s">
        <v>1283</v>
      </c>
      <c r="E12" s="83" t="s">
        <v>1292</v>
      </c>
    </row>
    <row r="13" spans="1:5" x14ac:dyDescent="0.35">
      <c r="B13" s="7">
        <f xml:space="preserve"> ROW( testDev[[#This Row],[row_id]] ) - ROW(testDev[[#Headers],[row_id]] )</f>
        <v>10</v>
      </c>
      <c r="C13" s="14" t="s">
        <v>242</v>
      </c>
      <c r="D13" s="58" t="s">
        <v>1284</v>
      </c>
      <c r="E13" s="83" t="s">
        <v>1288</v>
      </c>
    </row>
    <row r="14" spans="1:5" x14ac:dyDescent="0.35">
      <c r="B14" s="7">
        <f xml:space="preserve"> ROW( testDev[[#This Row],[row_id]] ) - ROW(testDev[[#Headers],[row_id]] )</f>
        <v>11</v>
      </c>
      <c r="C14" s="14" t="s">
        <v>969</v>
      </c>
      <c r="D14" s="58" t="s">
        <v>1283</v>
      </c>
      <c r="E14" s="83" t="s">
        <v>1293</v>
      </c>
    </row>
    <row r="15" spans="1:5" ht="21" x14ac:dyDescent="0.35">
      <c r="B15" s="7">
        <f xml:space="preserve"> ROW( testDev[[#This Row],[row_id]] ) - ROW(testDev[[#Headers],[row_id]] )</f>
        <v>12</v>
      </c>
      <c r="C15" s="14" t="s">
        <v>918</v>
      </c>
      <c r="D15" s="58" t="s">
        <v>1284</v>
      </c>
      <c r="E15" s="83" t="s">
        <v>1294</v>
      </c>
    </row>
    <row r="16" spans="1:5" x14ac:dyDescent="0.35">
      <c r="B16" s="7">
        <f xml:space="preserve"> ROW( testDev[[#This Row],[row_id]] ) - ROW(testDev[[#Headers],[row_id]] )</f>
        <v>13</v>
      </c>
      <c r="C16" s="14" t="s">
        <v>970</v>
      </c>
      <c r="D16" s="58" t="s">
        <v>1284</v>
      </c>
      <c r="E16" s="83" t="s">
        <v>1295</v>
      </c>
    </row>
    <row r="17" spans="2:5" x14ac:dyDescent="0.35">
      <c r="B17" s="7">
        <f xml:space="preserve"> ROW( testDev[[#This Row],[row_id]] ) - ROW(testDev[[#Headers],[row_id]] )</f>
        <v>14</v>
      </c>
      <c r="C17" s="14" t="s">
        <v>1066</v>
      </c>
      <c r="D17" s="58" t="s">
        <v>1284</v>
      </c>
      <c r="E17" s="83" t="s">
        <v>1288</v>
      </c>
    </row>
    <row r="18" spans="2:5" x14ac:dyDescent="0.35">
      <c r="B18" s="7">
        <f xml:space="preserve"> ROW( testDev[[#This Row],[row_id]] ) - ROW(testDev[[#Headers],[row_id]] )</f>
        <v>15</v>
      </c>
      <c r="C18" s="14" t="s">
        <v>1065</v>
      </c>
      <c r="D18" s="58" t="s">
        <v>1284</v>
      </c>
      <c r="E18" s="83" t="s">
        <v>1296</v>
      </c>
    </row>
    <row r="19" spans="2:5" ht="31.5" x14ac:dyDescent="0.35">
      <c r="B19" s="7">
        <f xml:space="preserve"> ROW( testDev[[#This Row],[row_id]] ) - ROW(testDev[[#Headers],[row_id]] )</f>
        <v>16</v>
      </c>
      <c r="C19" s="14" t="s">
        <v>1158</v>
      </c>
      <c r="D19" s="58" t="s">
        <v>1283</v>
      </c>
      <c r="E19" s="83" t="s">
        <v>1297</v>
      </c>
    </row>
    <row r="20" spans="2:5" x14ac:dyDescent="0.35">
      <c r="B20" s="7">
        <f xml:space="preserve"> ROW( testDev[[#This Row],[row_id]] ) - ROW(testDev[[#Headers],[row_id]] )</f>
        <v>17</v>
      </c>
      <c r="C20" s="14" t="s">
        <v>1270</v>
      </c>
      <c r="D20" s="58" t="s">
        <v>1282</v>
      </c>
      <c r="E20" s="83" t="s">
        <v>1298</v>
      </c>
    </row>
    <row r="21" spans="2:5" ht="21" x14ac:dyDescent="0.35">
      <c r="B21" s="7">
        <f xml:space="preserve"> ROW( testDev[[#This Row],[row_id]] ) - ROW(testDev[[#Headers],[row_id]] )</f>
        <v>18</v>
      </c>
      <c r="C21" s="14" t="s">
        <v>1272</v>
      </c>
      <c r="D21" s="58" t="s">
        <v>1284</v>
      </c>
      <c r="E21" s="83" t="s">
        <v>1299</v>
      </c>
    </row>
    <row r="22" spans="2:5" x14ac:dyDescent="0.35">
      <c r="B22" s="7">
        <f xml:space="preserve"> ROW( testDev[[#This Row],[row_id]] ) - ROW(testDev[[#Headers],[row_id]] )</f>
        <v>19</v>
      </c>
      <c r="C22" s="14" t="s">
        <v>1271</v>
      </c>
      <c r="D22" s="58" t="s">
        <v>1282</v>
      </c>
      <c r="E22" s="83" t="s">
        <v>1300</v>
      </c>
    </row>
    <row r="23" spans="2:5" x14ac:dyDescent="0.35">
      <c r="B23" s="7">
        <f xml:space="preserve"> ROW( testDev[[#This Row],[row_id]] ) - ROW(testDev[[#Headers],[row_id]] )</f>
        <v>20</v>
      </c>
      <c r="C23" s="14" t="s">
        <v>1274</v>
      </c>
      <c r="D23" s="58" t="s">
        <v>1284</v>
      </c>
      <c r="E23" s="83" t="s">
        <v>1288</v>
      </c>
    </row>
    <row r="24" spans="2:5" x14ac:dyDescent="0.35">
      <c r="B24" s="7">
        <f xml:space="preserve"> ROW( testDev[[#This Row],[row_id]] ) - ROW(testDev[[#Headers],[row_id]] )</f>
        <v>21</v>
      </c>
      <c r="C24" s="14" t="s">
        <v>1275</v>
      </c>
      <c r="D24" s="58" t="s">
        <v>1284</v>
      </c>
      <c r="E24" s="83" t="s">
        <v>1288</v>
      </c>
    </row>
    <row r="25" spans="2:5" x14ac:dyDescent="0.35">
      <c r="B25" s="7">
        <f xml:space="preserve"> ROW( testDev[[#This Row],[row_id]] ) - ROW(testDev[[#Headers],[row_id]] )</f>
        <v>22</v>
      </c>
      <c r="C25" s="14" t="s">
        <v>1276</v>
      </c>
      <c r="D25" s="58" t="s">
        <v>1284</v>
      </c>
      <c r="E25" s="83" t="s">
        <v>1288</v>
      </c>
    </row>
    <row r="26" spans="2:5" x14ac:dyDescent="0.35">
      <c r="B26" s="7">
        <f xml:space="preserve"> ROW( testDev[[#This Row],[row_id]] ) - ROW(testDev[[#Headers],[row_id]] )</f>
        <v>23</v>
      </c>
      <c r="C26" s="14" t="s">
        <v>1277</v>
      </c>
      <c r="D26" s="58" t="s">
        <v>1284</v>
      </c>
      <c r="E26" s="83" t="s">
        <v>1288</v>
      </c>
    </row>
    <row r="27" spans="2:5" ht="31.5" x14ac:dyDescent="0.35">
      <c r="B27" s="7">
        <f xml:space="preserve"> ROW( testDev[[#This Row],[row_id]] ) - ROW(testDev[[#Headers],[row_id]] )</f>
        <v>24</v>
      </c>
      <c r="C27" s="14" t="s">
        <v>1278</v>
      </c>
      <c r="D27" s="58" t="s">
        <v>1283</v>
      </c>
      <c r="E27" s="83" t="s">
        <v>1301</v>
      </c>
    </row>
    <row r="28" spans="2:5" ht="21" x14ac:dyDescent="0.35">
      <c r="B28" s="7">
        <f xml:space="preserve"> ROW( testDev[[#This Row],[row_id]] ) - ROW(testDev[[#Headers],[row_id]] )</f>
        <v>25</v>
      </c>
      <c r="C28" s="14" t="s">
        <v>1279</v>
      </c>
      <c r="D28" s="58" t="s">
        <v>1282</v>
      </c>
      <c r="E28" s="83" t="s">
        <v>1302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60"/>
  <sheetViews>
    <sheetView topLeftCell="A139" zoomScale="90" zoomScaleNormal="90" workbookViewId="0">
      <pane xSplit="3" topLeftCell="D1" activePane="topRight" state="frozen"/>
      <selection pane="topRight" activeCell="J156" sqref="J156"/>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4" spans="1:21" ht="21" x14ac:dyDescent="0.3">
      <c r="C14" s="89" t="s">
        <v>1025</v>
      </c>
      <c r="D14" s="86" t="s">
        <v>1031</v>
      </c>
      <c r="E14" s="87" t="s">
        <v>1016</v>
      </c>
      <c r="F14" s="88" t="s">
        <v>1024</v>
      </c>
    </row>
    <row r="16" spans="1:21" ht="14.5" x14ac:dyDescent="0.35">
      <c r="A16" s="47"/>
      <c r="B16" s="48" t="s">
        <v>238</v>
      </c>
      <c r="C16" s="48"/>
      <c r="D16" s="48"/>
      <c r="E16" s="48"/>
      <c r="F16" s="48"/>
      <c r="G16" s="48"/>
      <c r="H16" s="48"/>
      <c r="I16" s="48"/>
      <c r="J16" s="48"/>
      <c r="K16" s="48"/>
      <c r="L16" s="48"/>
      <c r="M16" s="48"/>
      <c r="N16" s="48"/>
      <c r="O16" s="48"/>
      <c r="P16" s="48"/>
      <c r="Q16" s="48"/>
      <c r="R16" s="48"/>
      <c r="S16" s="48"/>
      <c r="T16" s="48"/>
      <c r="U16" s="48"/>
    </row>
    <row r="18" spans="2:16" ht="39" x14ac:dyDescent="0.3">
      <c r="B18" s="49" t="s">
        <v>780</v>
      </c>
      <c r="C18" s="50" t="s">
        <v>219</v>
      </c>
      <c r="D18" s="49" t="s">
        <v>247</v>
      </c>
      <c r="E18" s="51" t="s">
        <v>760</v>
      </c>
      <c r="F18" s="51" t="s">
        <v>890</v>
      </c>
      <c r="G18" s="51" t="s">
        <v>1036</v>
      </c>
      <c r="H18" s="51" t="s">
        <v>1244</v>
      </c>
      <c r="I18" s="51" t="s">
        <v>831</v>
      </c>
      <c r="J18" s="51" t="s">
        <v>832</v>
      </c>
      <c r="K18" s="51" t="s">
        <v>1245</v>
      </c>
      <c r="L18" s="51" t="s">
        <v>975</v>
      </c>
      <c r="M18" s="51" t="s">
        <v>976</v>
      </c>
      <c r="N18" s="51" t="s">
        <v>977</v>
      </c>
      <c r="O18" s="51" t="s">
        <v>978</v>
      </c>
      <c r="P18" s="51" t="s">
        <v>1023</v>
      </c>
    </row>
    <row r="19" spans="2:16" ht="21" x14ac:dyDescent="0.3">
      <c r="B19" s="118">
        <f xml:space="preserve"> ROW( co_sectors[[#This Row],[row_id]] ) - ROW( co_sectors[[#Headers],[row_id]] )</f>
        <v>1</v>
      </c>
      <c r="C19" s="119" t="s">
        <v>559</v>
      </c>
      <c r="D19" s="54" t="s">
        <v>762</v>
      </c>
      <c r="E19" s="27">
        <v>1</v>
      </c>
      <c r="F19" s="30" t="s">
        <v>819</v>
      </c>
      <c r="G19" s="52" cm="1">
        <f t="array" ref="G19" xml:space="preserve"> IF( AND( SUMPRODUCT( co_impactYears[2010], --( co_sectors[[#This Row],[sector_id]] = co_impactYears[sector_id] ) ) &gt; 1,  SUMPRODUCT( co_impactYears[2090], --( co_sectors[[#This Row],[sector_id]] = co_impactYears[sector_id] ) ) &gt; 1 ), 1, 0 )</f>
        <v>0</v>
      </c>
      <c r="H19" s="68"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68" t="str">
        <f ca="1" xml:space="preserve"> _xlfn.TEXTJOIN( ", ", 1,
  OFFSET( INDIRECT( ADDRESS( ROW( INDEX( co_impactYears[sector_id], MATCH( co_sectors[[#This Row],[sector_id]], co_impactYears[sector_id], 0 ) ) ),  COLUMN( co_impactYears[[#Headers],[sector_id]] ), , , "controlTables" ) ), 0, 1, 1, 4 )
)</f>
        <v>N/A</v>
      </c>
      <c r="J19" s="6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68" cm="1">
        <f t="array" ref="K19" xml:space="preserve"> SUMPRODUCT( --( co_sectors[[#This Row],[sector_id]] = co_variants[sector_id] ) )</f>
        <v>2</v>
      </c>
      <c r="L19" s="68" cm="1">
        <f t="array" ref="L19" xml:space="preserve"> SUMPRODUCT( --( co_sectors[[#This Row],[sector_id]] = co_impactTypes[sector_id] ) )</f>
        <v>2</v>
      </c>
      <c r="M19" s="68" cm="1">
        <f t="array" ref="M19" xml:space="preserve"> IF( INDEX( co_impactYears[N/A], MATCH( 1, --( co_sectors[[#This Row],[sector_id]] = co_impactYears[sector_id] ), 0 ) ) = "N/A", 1, 2 )</f>
        <v>1</v>
      </c>
      <c r="N19" s="68" cm="1">
        <f t="array" ref="N19" xml:space="preserve"> INDEX( co_modelTypes[Number of models], MATCH( 1, --( co_sectors[[#This Row],[modelType]] = co_modelTypes[modelType_id] ), 0 ) ) + IF( co_sectors[[#This Row],[modelType]] = "gcm", 1, 0 )</f>
        <v>9</v>
      </c>
      <c r="O19" s="68" cm="1">
        <f t="array" ref="O19" xml:space="preserve"> INDEX( co_modelTypes[Number of levels], MATCH( 1, --( co_sectors[[#This Row],[modelType]] = co_modelTypes[modelType_id] ), 0 ) )</f>
        <v>7</v>
      </c>
      <c r="P19" s="68">
        <f xml:space="preserve"> PRODUCT( co_sectors[[#This Row],[Number of variants]:[Number of levels]] )</f>
        <v>252</v>
      </c>
    </row>
    <row r="20" spans="2:16" x14ac:dyDescent="0.3">
      <c r="B20" s="120">
        <f xml:space="preserve"> ROW( co_sectors[[#This Row],[row_id]] ) - ROW( co_sectors[[#Headers],[row_id]] )</f>
        <v>2</v>
      </c>
      <c r="C20" s="121" t="s">
        <v>1005</v>
      </c>
      <c r="D20" s="55" t="s">
        <v>1007</v>
      </c>
      <c r="E20" s="28">
        <v>1</v>
      </c>
      <c r="F20" s="31" t="s">
        <v>819</v>
      </c>
      <c r="G20" s="52" cm="1">
        <f t="array" ref="G20" xml:space="preserve"> IF( AND( SUMPRODUCT( co_impactYears[2010], --( co_sectors[[#This Row],[sector_id]] = co_impactYears[sector_id] ) ) &gt; 1,  SUMPRODUCT( co_impactYears[2090], --( co_sectors[[#This Row],[sector_id]] = co_impactYears[sector_id] ) ) &gt; 1 ), 1, 0 )</f>
        <v>0</v>
      </c>
      <c r="H20" s="68"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68" t="str">
        <f ca="1" xml:space="preserve"> _xlfn.TEXTJOIN( ", ", 1,
  OFFSET( INDIRECT( ADDRESS( ROW( INDEX( co_impactYears[sector_id], MATCH( co_sectors[[#This Row],[sector_id]], co_impactYears[sector_id], 0 ) ) ),  COLUMN( co_impactYears[[#Headers],[sector_id]] ), , , "controlTables" ) ), 0, 1, 1, 4 )
)</f>
        <v>N/A</v>
      </c>
      <c r="J20" s="68"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68" cm="1">
        <f t="array" ref="K20" xml:space="preserve"> SUMPRODUCT( --( co_sectors[[#This Row],[sector_id]] = co_variants[sector_id] ) )</f>
        <v>1</v>
      </c>
      <c r="L20" s="68" cm="1">
        <f t="array" ref="L20" xml:space="preserve"> SUMPRODUCT( --( co_sectors[[#This Row],[sector_id]] = co_impactTypes[sector_id] ) )</f>
        <v>1</v>
      </c>
      <c r="M20" s="68" cm="1">
        <f t="array" ref="M20" xml:space="preserve"> IF( INDEX( co_impactYears[N/A], MATCH( 1, --( co_sectors[[#This Row],[sector_id]] = co_impactYears[sector_id] ), 0 ) ) = "N/A", 1, 2 )</f>
        <v>1</v>
      </c>
      <c r="N20" s="68" cm="1">
        <f t="array" ref="N20" xml:space="preserve"> INDEX( co_modelTypes[Number of models], MATCH( 1, --( co_sectors[[#This Row],[modelType]] = co_modelTypes[modelType_id] ), 0 ) ) + IF( co_sectors[[#This Row],[modelType]] = "gcm", 1, 0 )</f>
        <v>9</v>
      </c>
      <c r="O20" s="68" cm="1">
        <f t="array" ref="O20" xml:space="preserve"> INDEX( co_modelTypes[Number of levels], MATCH( 1, --( co_sectors[[#This Row],[modelType]] = co_modelTypes[modelType_id] ), 0 ) )</f>
        <v>7</v>
      </c>
      <c r="P20" s="68">
        <f xml:space="preserve"> PRODUCT( co_sectors[[#This Row],[Number of variants]:[Number of levels]] )</f>
        <v>63</v>
      </c>
    </row>
    <row r="21" spans="2:16" ht="31.5" x14ac:dyDescent="0.3">
      <c r="B21" s="122">
        <f xml:space="preserve"> ROW( co_sectors[[#This Row],[row_id]] ) - ROW( co_sectors[[#Headers],[row_id]] )</f>
        <v>3</v>
      </c>
      <c r="C21" s="119" t="s">
        <v>1247</v>
      </c>
      <c r="D21" s="54" t="s">
        <v>1262</v>
      </c>
      <c r="E21" s="27">
        <v>1</v>
      </c>
      <c r="F21" s="31" t="s">
        <v>819</v>
      </c>
      <c r="G21" s="52" cm="1">
        <f t="array" ref="G21" xml:space="preserve"> IF( AND( SUMPRODUCT( co_impactYears[2010], --( co_sectors[[#This Row],[sector_id]] = co_impactYears[sector_id] ) ) &gt; 1,  SUMPRODUCT( co_impactYears[2090], --( co_sectors[[#This Row],[sector_id]] = co_impactYears[sector_id] ) ) &gt; 1 ), 1, 0 )</f>
        <v>0</v>
      </c>
      <c r="H21" s="68"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68" t="str">
        <f ca="1" xml:space="preserve"> _xlfn.TEXTJOIN( ", ", 1,
  OFFSET( INDIRECT( ADDRESS( ROW( INDEX( co_impactYears[sector_id], MATCH( co_sectors[[#This Row],[sector_id]], co_impactYears[sector_id], 0 ) ) ),  COLUMN( co_impactYears[[#Headers],[sector_id]] ), , , "controlTables" ) ), 0, 1, 1, 4 )
)</f>
        <v>N/A</v>
      </c>
      <c r="J21" s="6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68" cm="1">
        <f t="array" ref="K21" xml:space="preserve"> SUMPRODUCT( --( co_sectors[[#This Row],[sector_id]] = co_variants[sector_id] ) )</f>
        <v>3</v>
      </c>
      <c r="L21" s="68" cm="1">
        <f t="array" ref="L21" xml:space="preserve"> SUMPRODUCT( --( co_sectors[[#This Row],[sector_id]] = co_impactTypes[sector_id] ) )</f>
        <v>1</v>
      </c>
      <c r="M21" s="68" cm="1">
        <f t="array" ref="M21" xml:space="preserve"> IF( INDEX( co_impactYears[N/A], MATCH( 1, --( co_sectors[[#This Row],[sector_id]] = co_impactYears[sector_id] ), 0 ) ) = "N/A", 1, 2 )</f>
        <v>1</v>
      </c>
      <c r="N21" s="68" cm="1">
        <f t="array" ref="N21" xml:space="preserve"> INDEX( co_modelTypes[Number of models], MATCH( 1, --( co_sectors[[#This Row],[modelType]] = co_modelTypes[modelType_id] ), 0 ) ) + IF( co_sectors[[#This Row],[modelType]] = "gcm", 1, 0 )</f>
        <v>9</v>
      </c>
      <c r="O21" s="68" cm="1">
        <f t="array" ref="O21" xml:space="preserve"> INDEX( co_modelTypes[Number of levels], MATCH( 1, --( co_sectors[[#This Row],[modelType]] = co_modelTypes[modelType_id] ), 0 ) )</f>
        <v>7</v>
      </c>
      <c r="P21" s="68">
        <f xml:space="preserve"> PRODUCT( co_sectors[[#This Row],[Number of variants]:[Number of levels]] )</f>
        <v>189</v>
      </c>
    </row>
    <row r="22" spans="2:16" ht="21" x14ac:dyDescent="0.3">
      <c r="B22" s="122">
        <f xml:space="preserve"> ROW( co_sectors[[#This Row],[row_id]] ) - ROW( co_sectors[[#Headers],[row_id]] )</f>
        <v>4</v>
      </c>
      <c r="C22" s="119" t="s">
        <v>1229</v>
      </c>
      <c r="D22" s="54" t="s">
        <v>1231</v>
      </c>
      <c r="E22" s="27">
        <v>1</v>
      </c>
      <c r="F22" s="31" t="s">
        <v>819</v>
      </c>
      <c r="G22" s="52" cm="1">
        <f t="array" ref="G22" xml:space="preserve"> IF( AND( SUMPRODUCT( co_impactYears[2010], --( co_sectors[[#This Row],[sector_id]] = co_impactYears[sector_id] ) ) &gt; 1,  SUMPRODUCT( co_impactYears[2090], --( co_sectors[[#This Row],[sector_id]] = co_impactYears[sector_id] ) ) &gt; 1 ), 1, 0 )</f>
        <v>0</v>
      </c>
      <c r="H22" s="68"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68" t="str">
        <f ca="1" xml:space="preserve"> _xlfn.TEXTJOIN( ", ", 1,
  OFFSET( INDIRECT( ADDRESS( ROW( INDEX( co_impactYears[sector_id], MATCH( co_sectors[[#This Row],[sector_id]], co_impactYears[sector_id], 0 ) ) ),  COLUMN( co_impactYears[[#Headers],[sector_id]] ), , , "controlTables" ) ), 0, 1, 1, 4 )
)</f>
        <v>N/A</v>
      </c>
      <c r="J22" s="6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68" cm="1">
        <f t="array" ref="K22" xml:space="preserve"> SUMPRODUCT( --( co_sectors[[#This Row],[sector_id]] = co_variants[sector_id] ) )</f>
        <v>2</v>
      </c>
      <c r="L22" s="68" cm="1">
        <f t="array" ref="L22" xml:space="preserve"> SUMPRODUCT( --( co_sectors[[#This Row],[sector_id]] = co_impactTypes[sector_id] ) )</f>
        <v>4</v>
      </c>
      <c r="M22" s="68" cm="1">
        <f t="array" ref="M22" xml:space="preserve"> IF( INDEX( co_impactYears[N/A], MATCH( 1, --( co_sectors[[#This Row],[sector_id]] = co_impactYears[sector_id] ), 0 ) ) = "N/A", 1, 2 )</f>
        <v>1</v>
      </c>
      <c r="N22" s="68" cm="1">
        <f t="array" ref="N22" xml:space="preserve"> INDEX( co_modelTypes[Number of models], MATCH( 1, --( co_sectors[[#This Row],[modelType]] = co_modelTypes[modelType_id] ), 0 ) ) + IF( co_sectors[[#This Row],[modelType]] = "gcm", 1, 0 )</f>
        <v>9</v>
      </c>
      <c r="O22" s="68" cm="1">
        <f t="array" ref="O22" xml:space="preserve"> INDEX( co_modelTypes[Number of levels], MATCH( 1, --( co_sectors[[#This Row],[modelType]] = co_modelTypes[modelType_id] ), 0 ) )</f>
        <v>7</v>
      </c>
      <c r="P22" s="68">
        <f xml:space="preserve"> PRODUCT( co_sectors[[#This Row],[Number of variants]:[Number of levels]] )</f>
        <v>504</v>
      </c>
    </row>
    <row r="23" spans="2:16" x14ac:dyDescent="0.3">
      <c r="B23" s="122">
        <f xml:space="preserve"> ROW( co_sectors[[#This Row],[row_id]] ) - ROW( co_sectors[[#Headers],[row_id]] )</f>
        <v>5</v>
      </c>
      <c r="C23" s="119" t="s">
        <v>1230</v>
      </c>
      <c r="D23" s="54" t="s">
        <v>1232</v>
      </c>
      <c r="E23" s="27">
        <v>1</v>
      </c>
      <c r="F23" s="30" t="s">
        <v>819</v>
      </c>
      <c r="G23" s="52" cm="1">
        <f t="array" ref="G23" xml:space="preserve"> IF( AND( SUMPRODUCT( co_impactYears[2010], --( co_sectors[[#This Row],[sector_id]] = co_impactYears[sector_id] ) ) &gt; 1,  SUMPRODUCT( co_impactYears[2090], --( co_sectors[[#This Row],[sector_id]] = co_impactYears[sector_id] ) ) &gt; 1 ), 1, 0 )</f>
        <v>0</v>
      </c>
      <c r="H23" s="68"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68" t="str">
        <f ca="1" xml:space="preserve"> _xlfn.TEXTJOIN( ", ", 1,
  OFFSET( INDIRECT( ADDRESS( ROW( INDEX( co_impactYears[sector_id], MATCH( co_sectors[[#This Row],[sector_id]], co_impactYears[sector_id], 0 ) ) ),  COLUMN( co_impactYears[[#Headers],[sector_id]] ), , , "controlTables" ) ), 0, 1, 1, 4 )
)</f>
        <v>N/A</v>
      </c>
      <c r="J23" s="6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68" cm="1">
        <f t="array" ref="K23" xml:space="preserve"> SUMPRODUCT( --( co_sectors[[#This Row],[sector_id]] = co_variants[sector_id] ) )</f>
        <v>1</v>
      </c>
      <c r="L23" s="68" cm="1">
        <f t="array" ref="L23" xml:space="preserve"> SUMPRODUCT( --( co_sectors[[#This Row],[sector_id]] = co_impactTypes[sector_id] ) )</f>
        <v>2</v>
      </c>
      <c r="M23" s="68" cm="1">
        <f t="array" ref="M23" xml:space="preserve"> IF( INDEX( co_impactYears[N/A], MATCH( 1, --( co_sectors[[#This Row],[sector_id]] = co_impactYears[sector_id] ), 0 ) ) = "N/A", 1, 2 )</f>
        <v>1</v>
      </c>
      <c r="N23" s="68" cm="1">
        <f t="array" ref="N23" xml:space="preserve"> INDEX( co_modelTypes[Number of models], MATCH( 1, --( co_sectors[[#This Row],[modelType]] = co_modelTypes[modelType_id] ), 0 ) ) + IF( co_sectors[[#This Row],[modelType]] = "gcm", 1, 0 )</f>
        <v>9</v>
      </c>
      <c r="O23" s="68" cm="1">
        <f t="array" ref="O23" xml:space="preserve"> INDEX( co_modelTypes[Number of levels], MATCH( 1, --( co_sectors[[#This Row],[modelType]] = co_modelTypes[modelType_id] ), 0 ) )</f>
        <v>7</v>
      </c>
      <c r="P23" s="68">
        <f xml:space="preserve"> PRODUCT( co_sectors[[#This Row],[Number of variants]:[Number of levels]] )</f>
        <v>126</v>
      </c>
    </row>
    <row r="24" spans="2:16" ht="31.5" x14ac:dyDescent="0.3">
      <c r="B24" s="122">
        <f xml:space="preserve"> ROW( co_sectors[[#This Row],[row_id]] ) - ROW( co_sectors[[#Headers],[row_id]] )</f>
        <v>6</v>
      </c>
      <c r="C24" s="123" t="s">
        <v>1159</v>
      </c>
      <c r="D24" s="113" t="s">
        <v>1160</v>
      </c>
      <c r="E24" s="114">
        <v>1</v>
      </c>
      <c r="F24" s="109" t="s">
        <v>819</v>
      </c>
      <c r="G24" s="52" cm="1">
        <f t="array" ref="G24" xml:space="preserve"> IF( AND( SUMPRODUCT( co_impactYears[2010], --( co_sectors[[#This Row],[sector_id]] = co_impactYears[sector_id] ) ) &gt; 1,  SUMPRODUCT( co_impactYears[2090], --( co_sectors[[#This Row],[sector_id]] = co_impactYears[sector_id] ) ) &gt; 1 ), 1, 0 )</f>
        <v>0</v>
      </c>
      <c r="H24" s="68"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68" t="str">
        <f ca="1" xml:space="preserve"> _xlfn.TEXTJOIN( ", ", 1,
  OFFSET( INDIRECT( ADDRESS( ROW( INDEX( co_impactYears[sector_id], MATCH( co_sectors[[#This Row],[sector_id]], co_impactYears[sector_id], 0 ) ) ),  COLUMN( co_impactYears[[#Headers],[sector_id]] ), , , "controlTables" ) ), 0, 1, 1, 4 )
)</f>
        <v>N/A</v>
      </c>
      <c r="J24" s="6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68" cm="1">
        <f t="array" ref="K24" xml:space="preserve"> SUMPRODUCT( --( co_sectors[[#This Row],[sector_id]] = co_variants[sector_id] ) )</f>
        <v>3</v>
      </c>
      <c r="L24" s="68" cm="1">
        <f t="array" ref="L24" xml:space="preserve"> SUMPRODUCT( --( co_sectors[[#This Row],[sector_id]] = co_impactTypes[sector_id] ) )</f>
        <v>1</v>
      </c>
      <c r="M24" s="68" cm="1">
        <f t="array" ref="M24" xml:space="preserve"> IF( INDEX( co_impactYears[N/A], MATCH( 1, --( co_sectors[[#This Row],[sector_id]] = co_impactYears[sector_id] ), 0 ) ) = "N/A", 1, 2 )</f>
        <v>1</v>
      </c>
      <c r="N24" s="68" cm="1">
        <f t="array" ref="N24" xml:space="preserve"> INDEX( co_modelTypes[Number of models], MATCH( 1, --( co_sectors[[#This Row],[modelType]] = co_modelTypes[modelType_id] ), 0 ) ) + IF( co_sectors[[#This Row],[modelType]] = "gcm", 1, 0 )</f>
        <v>9</v>
      </c>
      <c r="O24" s="68" cm="1">
        <f t="array" ref="O24" xml:space="preserve"> INDEX( co_modelTypes[Number of levels], MATCH( 1, --( co_sectors[[#This Row],[modelType]] = co_modelTypes[modelType_id] ), 0 ) )</f>
        <v>7</v>
      </c>
      <c r="P24" s="68">
        <f xml:space="preserve"> PRODUCT( co_sectors[[#This Row],[Number of variants]:[Number of levels]] )</f>
        <v>189</v>
      </c>
    </row>
    <row r="25" spans="2:16" ht="31.5" x14ac:dyDescent="0.3">
      <c r="B25" s="122">
        <f xml:space="preserve"> ROW( co_sectors[[#This Row],[row_id]] ) - ROW( co_sectors[[#Headers],[row_id]] )</f>
        <v>7</v>
      </c>
      <c r="C25" s="119" t="s">
        <v>86</v>
      </c>
      <c r="D25" s="54" t="s">
        <v>198</v>
      </c>
      <c r="E25" s="27">
        <v>1</v>
      </c>
      <c r="F25" s="31" t="s">
        <v>818</v>
      </c>
      <c r="G25" s="53" cm="1">
        <f t="array" ref="G25" xml:space="preserve"> IF( AND( SUMPRODUCT( co_impactYears[2010], --( co_sectors[[#This Row],[sector_id]] = co_impactYears[sector_id] ) ) &gt; 1,  SUMPRODUCT( co_impactYears[2090], --( co_sectors[[#This Row],[sector_id]] = co_impactYears[sector_id] ) ) &gt; 1 ), 1, 0 )</f>
        <v>0</v>
      </c>
      <c r="H25" s="68"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68" t="str">
        <f ca="1" xml:space="preserve"> _xlfn.TEXTJOIN( ", ", 1,
  OFFSET( INDIRECT( ADDRESS( ROW( INDEX( co_impactYears[sector_id], MATCH( co_sectors[[#This Row],[sector_id]], co_impactYears[sector_id], 0 ) ) ),  COLUMN( co_impactYears[[#Headers],[sector_id]] ), , , "controlTables" ) ), 0, 1, 1, 4 )
)</f>
        <v>N/A</v>
      </c>
      <c r="J25" s="6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68" cm="1">
        <f t="array" ref="K25" xml:space="preserve"> SUMPRODUCT( --( co_sectors[[#This Row],[sector_id]] = co_variants[sector_id] ) )</f>
        <v>3</v>
      </c>
      <c r="L25" s="68" cm="1">
        <f t="array" ref="L25" xml:space="preserve"> SUMPRODUCT( --( co_sectors[[#This Row],[sector_id]] = co_impactTypes[sector_id] ) )</f>
        <v>1</v>
      </c>
      <c r="M25" s="68" cm="1">
        <f t="array" ref="M25" xml:space="preserve"> IF( INDEX( co_impactYears[N/A], MATCH( 1, --( co_sectors[[#This Row],[sector_id]] = co_impactYears[sector_id] ), 0 ) ) = "N/A", 1, 2 )</f>
        <v>1</v>
      </c>
      <c r="N25" s="68" cm="1">
        <f t="array" ref="N25" xml:space="preserve"> INDEX( co_modelTypes[Number of models], MATCH( 1, --( co_sectors[[#This Row],[modelType]] = co_modelTypes[modelType_id] ), 0 ) ) + IF( co_sectors[[#This Row],[modelType]] = "gcm", 1, 0 )</f>
        <v>6</v>
      </c>
      <c r="O25" s="68" cm="1">
        <f t="array" ref="O25" xml:space="preserve"> INDEX( co_modelTypes[Number of levels], MATCH( 1, --( co_sectors[[#This Row],[modelType]] = co_modelTypes[modelType_id] ), 0 ) )</f>
        <v>6</v>
      </c>
      <c r="P25" s="68">
        <f xml:space="preserve"> PRODUCT( co_sectors[[#This Row],[Number of variants]:[Number of levels]] )</f>
        <v>108</v>
      </c>
    </row>
    <row r="26" spans="2:16" x14ac:dyDescent="0.3">
      <c r="B26" s="122">
        <f xml:space="preserve"> ROW( co_sectors[[#This Row],[row_id]] ) - ROW( co_sectors[[#Headers],[row_id]] )</f>
        <v>8</v>
      </c>
      <c r="C26" s="124" t="s">
        <v>220</v>
      </c>
      <c r="D26" s="54" t="s">
        <v>1004</v>
      </c>
      <c r="E26" s="28">
        <v>1</v>
      </c>
      <c r="F26" s="30" t="s">
        <v>819</v>
      </c>
      <c r="G26" s="52" cm="1">
        <f t="array" ref="G26" xml:space="preserve"> IF( AND( SUMPRODUCT( co_impactYears[2010], --( co_sectors[[#This Row],[sector_id]] = co_impactYears[sector_id] ) ) &gt; 1,  SUMPRODUCT( co_impactYears[2090], --( co_sectors[[#This Row],[sector_id]] = co_impactYears[sector_id] ) ) &gt; 1 ), 1, 0 )</f>
        <v>0</v>
      </c>
      <c r="H26" s="68"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68" t="str">
        <f ca="1" xml:space="preserve"> _xlfn.TEXTJOIN( ", ", 1,
  OFFSET( INDIRECT( ADDRESS( ROW( INDEX( co_impactYears[sector_id], MATCH( co_sectors[[#This Row],[sector_id]], co_impactYears[sector_id], 0 ) ) ),  COLUMN( co_impactYears[[#Headers],[sector_id]] ), , , "controlTables" ) ), 0, 1, 1, 4 )
)</f>
        <v>N/A</v>
      </c>
      <c r="J26" s="6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68" cm="1">
        <f t="array" ref="K26" xml:space="preserve"> SUMPRODUCT( --( co_sectors[[#This Row],[sector_id]] = co_variants[sector_id] ) )</f>
        <v>1</v>
      </c>
      <c r="L26" s="68" cm="1">
        <f t="array" ref="L26" xml:space="preserve"> SUMPRODUCT( --( co_sectors[[#This Row],[sector_id]] = co_impactTypes[sector_id] ) )</f>
        <v>1</v>
      </c>
      <c r="M26" s="68" cm="1">
        <f t="array" ref="M26" xml:space="preserve"> IF( INDEX( co_impactYears[N/A], MATCH( 1, --( co_sectors[[#This Row],[sector_id]] = co_impactYears[sector_id] ), 0 ) ) = "N/A", 1, 2 )</f>
        <v>1</v>
      </c>
      <c r="N26" s="68" cm="1">
        <f t="array" ref="N26" xml:space="preserve"> INDEX( co_modelTypes[Number of models], MATCH( 1, --( co_sectors[[#This Row],[modelType]] = co_modelTypes[modelType_id] ), 0 ) ) + IF( co_sectors[[#This Row],[modelType]] = "gcm", 1, 0 )</f>
        <v>9</v>
      </c>
      <c r="O26" s="68" cm="1">
        <f t="array" ref="O26" xml:space="preserve"> INDEX( co_modelTypes[Number of levels], MATCH( 1, --( co_sectors[[#This Row],[modelType]] = co_modelTypes[modelType_id] ), 0 ) )</f>
        <v>7</v>
      </c>
      <c r="P26" s="68">
        <f xml:space="preserve"> PRODUCT( co_sectors[[#This Row],[Number of variants]:[Number of levels]] )</f>
        <v>63</v>
      </c>
    </row>
    <row r="27" spans="2:16" ht="31.5" x14ac:dyDescent="0.3">
      <c r="B27" s="122">
        <f xml:space="preserve"> ROW( co_sectors[[#This Row],[row_id]] ) - ROW( co_sectors[[#Headers],[row_id]] )</f>
        <v>9</v>
      </c>
      <c r="C27" s="124" t="s">
        <v>1002</v>
      </c>
      <c r="D27" s="54" t="s">
        <v>1001</v>
      </c>
      <c r="E27" s="28">
        <v>1</v>
      </c>
      <c r="F27" s="30" t="s">
        <v>819</v>
      </c>
      <c r="G27" s="52" cm="1">
        <f t="array" ref="G27" xml:space="preserve"> IF( AND( SUMPRODUCT( co_impactYears[2010], --( co_sectors[[#This Row],[sector_id]] = co_impactYears[sector_id] ) ) &gt; 1,  SUMPRODUCT( co_impactYears[2090], --( co_sectors[[#This Row],[sector_id]] = co_impactYears[sector_id] ) ) &gt; 1 ), 1, 0 )</f>
        <v>0</v>
      </c>
      <c r="H27" s="68"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68" t="str">
        <f ca="1" xml:space="preserve"> _xlfn.TEXTJOIN( ", ", 1,
  OFFSET( INDIRECT( ADDRESS( ROW( INDEX( co_impactYears[sector_id], MATCH( co_sectors[[#This Row],[sector_id]], co_impactYears[sector_id], 0 ) ) ),  COLUMN( co_impactYears[[#Headers],[sector_id]] ), , , "controlTables" ) ), 0, 1, 1, 4 )
)</f>
        <v>N/A</v>
      </c>
      <c r="J27" s="6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68" cm="1">
        <f t="array" ref="K27" xml:space="preserve"> SUMPRODUCT( --( co_sectors[[#This Row],[sector_id]] = co_variants[sector_id] ) )</f>
        <v>3</v>
      </c>
      <c r="L27" s="68" cm="1">
        <f t="array" ref="L27" xml:space="preserve"> SUMPRODUCT( --( co_sectors[[#This Row],[sector_id]] = co_impactTypes[sector_id] ) )</f>
        <v>1</v>
      </c>
      <c r="M27" s="68" cm="1">
        <f t="array" ref="M27" xml:space="preserve"> IF( INDEX( co_impactYears[N/A], MATCH( 1, --( co_sectors[[#This Row],[sector_id]] = co_impactYears[sector_id] ), 0 ) ) = "N/A", 1, 2 )</f>
        <v>1</v>
      </c>
      <c r="N27" s="68" cm="1">
        <f t="array" ref="N27" xml:space="preserve"> INDEX( co_modelTypes[Number of models], MATCH( 1, --( co_sectors[[#This Row],[modelType]] = co_modelTypes[modelType_id] ), 0 ) ) + IF( co_sectors[[#This Row],[modelType]] = "gcm", 1, 0 )</f>
        <v>9</v>
      </c>
      <c r="O27" s="68" cm="1">
        <f t="array" ref="O27" xml:space="preserve"> INDEX( co_modelTypes[Number of levels], MATCH( 1, --( co_sectors[[#This Row],[modelType]] = co_modelTypes[modelType_id] ), 0 ) )</f>
        <v>7</v>
      </c>
      <c r="P27" s="68">
        <f xml:space="preserve"> PRODUCT( co_sectors[[#This Row],[Number of variants]:[Number of levels]] )</f>
        <v>189</v>
      </c>
    </row>
    <row r="28" spans="2:16" x14ac:dyDescent="0.3">
      <c r="B28" s="122">
        <f xml:space="preserve"> ROW( co_sectors[[#This Row],[row_id]] ) - ROW( co_sectors[[#Headers],[row_id]] )</f>
        <v>10</v>
      </c>
      <c r="C28" s="119" t="s">
        <v>17</v>
      </c>
      <c r="D28" s="54" t="s">
        <v>199</v>
      </c>
      <c r="E28" s="27">
        <v>1</v>
      </c>
      <c r="F28" s="30" t="s">
        <v>819</v>
      </c>
      <c r="G28" s="52" cm="1">
        <f t="array" ref="G28" xml:space="preserve"> IF( AND( SUMPRODUCT( co_impactYears[2010], --( co_sectors[[#This Row],[sector_id]] = co_impactYears[sector_id] ) ) &gt; 1,  SUMPRODUCT( co_impactYears[2090], --( co_sectors[[#This Row],[sector_id]] = co_impactYears[sector_id] ) ) &gt; 1 ), 1, 0 )</f>
        <v>1</v>
      </c>
      <c r="H28" s="68"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68" t="str">
        <f ca="1" xml:space="preserve"> _xlfn.TEXTJOIN( ", ", 1,
  OFFSET( INDIRECT( ADDRESS( ROW( INDEX( co_impactYears[sector_id], MATCH( co_sectors[[#This Row],[sector_id]], co_impactYears[sector_id], 0 ) ) ),  COLUMN( co_impactYears[[#Headers],[sector_id]] ), , , "controlTables" ) ), 0, 1, 1, 4 )
)</f>
        <v>2010, 2090</v>
      </c>
      <c r="J28" s="6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68" cm="1">
        <f t="array" ref="K28" xml:space="preserve"> SUMPRODUCT( --( co_sectors[[#This Row],[sector_id]] = co_variants[sector_id] ) )</f>
        <v>2</v>
      </c>
      <c r="L28" s="68" cm="1">
        <f t="array" ref="L28" xml:space="preserve"> SUMPRODUCT( --( co_sectors[[#This Row],[sector_id]] = co_impactTypes[sector_id] ) )</f>
        <v>2</v>
      </c>
      <c r="M28" s="68" cm="1">
        <f t="array" ref="M28" xml:space="preserve"> IF( INDEX( co_impactYears[N/A], MATCH( 1, --( co_sectors[[#This Row],[sector_id]] = co_impactYears[sector_id] ), 0 ) ) = "N/A", 1, 2 )</f>
        <v>2</v>
      </c>
      <c r="N28" s="68" cm="1">
        <f t="array" ref="N28" xml:space="preserve"> INDEX( co_modelTypes[Number of models], MATCH( 1, --( co_sectors[[#This Row],[modelType]] = co_modelTypes[modelType_id] ), 0 ) ) + IF( co_sectors[[#This Row],[modelType]] = "gcm", 1, 0 )</f>
        <v>9</v>
      </c>
      <c r="O28" s="68" cm="1">
        <f t="array" ref="O28" xml:space="preserve"> INDEX( co_modelTypes[Number of levels], MATCH( 1, --( co_sectors[[#This Row],[modelType]] = co_modelTypes[modelType_id] ), 0 ) )</f>
        <v>7</v>
      </c>
      <c r="P28" s="68">
        <f xml:space="preserve"> PRODUCT( co_sectors[[#This Row],[Number of variants]:[Number of levels]] )</f>
        <v>504</v>
      </c>
    </row>
    <row r="29" spans="2:16" ht="31.5" x14ac:dyDescent="0.3">
      <c r="B29" s="122">
        <f xml:space="preserve"> ROW( co_sectors[[#This Row],[row_id]] ) - ROW( co_sectors[[#Headers],[row_id]] )</f>
        <v>11</v>
      </c>
      <c r="C29" s="119" t="s">
        <v>221</v>
      </c>
      <c r="D29" s="54" t="s">
        <v>222</v>
      </c>
      <c r="E29" s="27">
        <v>1</v>
      </c>
      <c r="F29" s="31" t="s">
        <v>818</v>
      </c>
      <c r="G29" s="53" cm="1">
        <f t="array" ref="G29" xml:space="preserve"> IF( AND( SUMPRODUCT( co_impactYears[2010], --( co_sectors[[#This Row],[sector_id]] = co_impactYears[sector_id] ) ) &gt; 1,  SUMPRODUCT( co_impactYears[2090], --( co_sectors[[#This Row],[sector_id]] = co_impactYears[sector_id] ) ) &gt; 1 ), 1, 0 )</f>
        <v>0</v>
      </c>
      <c r="H29" s="68"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68" t="str">
        <f ca="1" xml:space="preserve"> _xlfn.TEXTJOIN( ", ", 1,
  OFFSET( INDIRECT( ADDRESS( ROW( INDEX( co_impactYears[sector_id], MATCH( co_sectors[[#This Row],[sector_id]], co_impactYears[sector_id], 0 ) ) ),  COLUMN( co_impactYears[[#Headers],[sector_id]] ), , , "controlTables" ) ), 0, 1, 1, 4 )
)</f>
        <v>N/A</v>
      </c>
      <c r="J29" s="6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68" cm="1">
        <f t="array" ref="K29" xml:space="preserve"> SUMPRODUCT( --( co_sectors[[#This Row],[sector_id]] = co_variants[sector_id] ) )</f>
        <v>3</v>
      </c>
      <c r="L29" s="68" cm="1">
        <f t="array" ref="L29" xml:space="preserve"> SUMPRODUCT( --( co_sectors[[#This Row],[sector_id]] = co_impactTypes[sector_id] ) )</f>
        <v>1</v>
      </c>
      <c r="M29" s="68" cm="1">
        <f t="array" ref="M29" xml:space="preserve"> IF( INDEX( co_impactYears[N/A], MATCH( 1, --( co_sectors[[#This Row],[sector_id]] = co_impactYears[sector_id] ), 0 ) ) = "N/A", 1, 2 )</f>
        <v>1</v>
      </c>
      <c r="N29" s="68" cm="1">
        <f t="array" ref="N29" xml:space="preserve"> INDEX( co_modelTypes[Number of models], MATCH( 1, --( co_sectors[[#This Row],[modelType]] = co_modelTypes[modelType_id] ), 0 ) ) + IF( co_sectors[[#This Row],[modelType]] = "gcm", 1, 0 )</f>
        <v>6</v>
      </c>
      <c r="O29" s="68" cm="1">
        <f t="array" ref="O29" xml:space="preserve"> INDEX( co_modelTypes[Number of levels], MATCH( 1, --( co_sectors[[#This Row],[modelType]] = co_modelTypes[modelType_id] ), 0 ) )</f>
        <v>6</v>
      </c>
      <c r="P29" s="68">
        <f xml:space="preserve"> PRODUCT( co_sectors[[#This Row],[Number of variants]:[Number of levels]] )</f>
        <v>108</v>
      </c>
    </row>
    <row r="30" spans="2:16" x14ac:dyDescent="0.3">
      <c r="B30" s="122">
        <f xml:space="preserve"> ROW( co_sectors[[#This Row],[row_id]] ) - ROW( co_sectors[[#Headers],[row_id]] )</f>
        <v>12</v>
      </c>
      <c r="C30" s="119" t="s">
        <v>84</v>
      </c>
      <c r="D30" s="54" t="s">
        <v>1085</v>
      </c>
      <c r="E30" s="27">
        <v>1</v>
      </c>
      <c r="F30" s="31" t="s">
        <v>819</v>
      </c>
      <c r="G30" s="52" cm="1">
        <f t="array" ref="G30" xml:space="preserve"> IF( AND( SUMPRODUCT( co_impactYears[2010], --( co_sectors[[#This Row],[sector_id]] = co_impactYears[sector_id] ) ) &gt; 1,  SUMPRODUCT( co_impactYears[2090], --( co_sectors[[#This Row],[sector_id]] = co_impactYears[sector_id] ) ) &gt; 1 ), 1, 0 )</f>
        <v>0</v>
      </c>
      <c r="H30" s="68"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68" t="str">
        <f ca="1" xml:space="preserve"> _xlfn.TEXTJOIN( ", ", 1,
  OFFSET( INDIRECT( ADDRESS( ROW( INDEX( co_impactYears[sector_id], MATCH( co_sectors[[#This Row],[sector_id]], co_impactYears[sector_id], 0 ) ) ),  COLUMN( co_impactYears[[#Headers],[sector_id]] ), , , "controlTables" ) ), 0, 1, 1, 4 )
)</f>
        <v>N/A</v>
      </c>
      <c r="J30" s="6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68" cm="1">
        <f t="array" ref="K30" xml:space="preserve"> SUMPRODUCT( --( co_sectors[[#This Row],[sector_id]] = co_variants[sector_id] ) )</f>
        <v>1</v>
      </c>
      <c r="L30" s="68" cm="1">
        <f t="array" ref="L30" xml:space="preserve"> SUMPRODUCT( --( co_sectors[[#This Row],[sector_id]] = co_impactTypes[sector_id] ) )</f>
        <v>1</v>
      </c>
      <c r="M30" s="68" cm="1">
        <f t="array" ref="M30" xml:space="preserve"> IF( INDEX( co_impactYears[N/A], MATCH( 1, --( co_sectors[[#This Row],[sector_id]] = co_impactYears[sector_id] ), 0 ) ) = "N/A", 1, 2 )</f>
        <v>1</v>
      </c>
      <c r="N30" s="68" cm="1">
        <f t="array" ref="N30" xml:space="preserve"> INDEX( co_modelTypes[Number of models], MATCH( 1, --( co_sectors[[#This Row],[modelType]] = co_modelTypes[modelType_id] ), 0 ) ) + IF( co_sectors[[#This Row],[modelType]] = "gcm", 1, 0 )</f>
        <v>9</v>
      </c>
      <c r="O30" s="68" cm="1">
        <f t="array" ref="O30" xml:space="preserve"> INDEX( co_modelTypes[Number of levels], MATCH( 1, --( co_sectors[[#This Row],[modelType]] = co_modelTypes[modelType_id] ), 0 ) )</f>
        <v>7</v>
      </c>
      <c r="P30" s="68">
        <f xml:space="preserve"> PRODUCT( co_sectors[[#This Row],[Number of variants]:[Number of levels]] )</f>
        <v>63</v>
      </c>
    </row>
    <row r="31" spans="2:16" x14ac:dyDescent="0.3">
      <c r="B31" s="122">
        <f xml:space="preserve"> ROW( co_sectors[[#This Row],[row_id]] ) - ROW( co_sectors[[#Headers],[row_id]] )</f>
        <v>13</v>
      </c>
      <c r="C31" s="119" t="s">
        <v>34</v>
      </c>
      <c r="D31" s="54" t="s">
        <v>34</v>
      </c>
      <c r="E31" s="27">
        <v>1</v>
      </c>
      <c r="F31" s="30" t="s">
        <v>819</v>
      </c>
      <c r="G31" s="52" cm="1">
        <f t="array" ref="G31" xml:space="preserve"> IF( AND( SUMPRODUCT( co_impactYears[2010], --( co_sectors[[#This Row],[sector_id]] = co_impactYears[sector_id] ) ) &gt; 1,  SUMPRODUCT( co_impactYears[2090], --( co_sectors[[#This Row],[sector_id]] = co_impactYears[sector_id] ) ) &gt; 1 ), 1, 0 )</f>
        <v>0</v>
      </c>
      <c r="H31" s="68"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68" t="str">
        <f ca="1" xml:space="preserve"> _xlfn.TEXTJOIN( ", ", 1,
  OFFSET( INDIRECT( ADDRESS( ROW( INDEX( co_impactYears[sector_id], MATCH( co_sectors[[#This Row],[sector_id]], co_impactYears[sector_id], 0 ) ) ),  COLUMN( co_impactYears[[#Headers],[sector_id]] ), , , "controlTables" ) ), 0, 1, 1, 4 )
)</f>
        <v>N/A</v>
      </c>
      <c r="J31" s="6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68" cm="1">
        <f t="array" ref="K31" xml:space="preserve"> SUMPRODUCT( --( co_sectors[[#This Row],[sector_id]] = co_variants[sector_id] ) )</f>
        <v>1</v>
      </c>
      <c r="L31" s="68" cm="1">
        <f t="array" ref="L31" xml:space="preserve"> SUMPRODUCT( --( co_sectors[[#This Row],[sector_id]] = co_impactTypes[sector_id] ) )</f>
        <v>1</v>
      </c>
      <c r="M31" s="68" cm="1">
        <f t="array" ref="M31" xml:space="preserve"> IF( INDEX( co_impactYears[N/A], MATCH( 1, --( co_sectors[[#This Row],[sector_id]] = co_impactYears[sector_id] ), 0 ) ) = "N/A", 1, 2 )</f>
        <v>1</v>
      </c>
      <c r="N31" s="68" cm="1">
        <f t="array" ref="N31" xml:space="preserve"> INDEX( co_modelTypes[Number of models], MATCH( 1, --( co_sectors[[#This Row],[modelType]] = co_modelTypes[modelType_id] ), 0 ) ) + IF( co_sectors[[#This Row],[modelType]] = "gcm", 1, 0 )</f>
        <v>9</v>
      </c>
      <c r="O31" s="68" cm="1">
        <f t="array" ref="O31" xml:space="preserve"> INDEX( co_modelTypes[Number of levels], MATCH( 1, --( co_sectors[[#This Row],[modelType]] = co_modelTypes[modelType_id] ), 0 ) )</f>
        <v>7</v>
      </c>
      <c r="P31" s="68">
        <f xml:space="preserve"> PRODUCT( co_sectors[[#This Row],[Number of variants]:[Number of levels]] )</f>
        <v>63</v>
      </c>
    </row>
    <row r="32" spans="2:16" x14ac:dyDescent="0.3">
      <c r="B32" s="122">
        <f xml:space="preserve"> ROW( co_sectors[[#This Row],[row_id]] ) - ROW( co_sectors[[#Headers],[row_id]] )</f>
        <v>14</v>
      </c>
      <c r="C32" s="123" t="s">
        <v>223</v>
      </c>
      <c r="D32" s="113" t="s">
        <v>1162</v>
      </c>
      <c r="E32" s="114">
        <v>1</v>
      </c>
      <c r="F32" s="109" t="s">
        <v>819</v>
      </c>
      <c r="G32" s="52" cm="1">
        <f t="array" ref="G32" xml:space="preserve"> IF( AND( SUMPRODUCT( co_impactYears[2010], --( co_sectors[[#This Row],[sector_id]] = co_impactYears[sector_id] ) ) &gt; 1,  SUMPRODUCT( co_impactYears[2090], --( co_sectors[[#This Row],[sector_id]] = co_impactYears[sector_id] ) ) &gt; 1 ), 1, 0 )</f>
        <v>0</v>
      </c>
      <c r="H32" s="68"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68" t="str">
        <f ca="1" xml:space="preserve"> _xlfn.TEXTJOIN( ", ", 1,
  OFFSET( INDIRECT( ADDRESS( ROW( INDEX( co_impactYears[sector_id], MATCH( co_sectors[[#This Row],[sector_id]], co_impactYears[sector_id], 0 ) ) ),  COLUMN( co_impactYears[[#Headers],[sector_id]] ), , , "controlTables" ) ), 0, 1, 1, 4 )
)</f>
        <v>N/A</v>
      </c>
      <c r="J32" s="68"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68" cm="1">
        <f t="array" ref="K32" xml:space="preserve"> SUMPRODUCT( --( co_sectors[[#This Row],[sector_id]] = co_variants[sector_id] ) )</f>
        <v>1</v>
      </c>
      <c r="L32" s="68" cm="1">
        <f t="array" ref="L32" xml:space="preserve"> SUMPRODUCT( --( co_sectors[[#This Row],[sector_id]] = co_impactTypes[sector_id] ) )</f>
        <v>1</v>
      </c>
      <c r="M32" s="68" cm="1">
        <f t="array" ref="M32" xml:space="preserve"> IF( INDEX( co_impactYears[N/A], MATCH( 1, --( co_sectors[[#This Row],[sector_id]] = co_impactYears[sector_id] ), 0 ) ) = "N/A", 1, 2 )</f>
        <v>1</v>
      </c>
      <c r="N32" s="68" cm="1">
        <f t="array" ref="N32" xml:space="preserve"> INDEX( co_modelTypes[Number of models], MATCH( 1, --( co_sectors[[#This Row],[modelType]] = co_modelTypes[modelType_id] ), 0 ) ) + IF( co_sectors[[#This Row],[modelType]] = "gcm", 1, 0 )</f>
        <v>9</v>
      </c>
      <c r="O32" s="68" cm="1">
        <f t="array" ref="O32" xml:space="preserve"> INDEX( co_modelTypes[Number of levels], MATCH( 1, --( co_sectors[[#This Row],[modelType]] = co_modelTypes[modelType_id] ), 0 ) )</f>
        <v>7</v>
      </c>
      <c r="P32" s="68">
        <f xml:space="preserve"> PRODUCT( co_sectors[[#This Row],[Number of variants]:[Number of levels]] )</f>
        <v>63</v>
      </c>
    </row>
    <row r="33" spans="1:21" ht="31.5" x14ac:dyDescent="0.3">
      <c r="B33" s="120">
        <f xml:space="preserve"> ROW( co_sectors[[#This Row],[row_id]] ) - ROW( co_sectors[[#Headers],[row_id]] )</f>
        <v>15</v>
      </c>
      <c r="C33" s="121" t="s">
        <v>209</v>
      </c>
      <c r="D33" s="55" t="s">
        <v>209</v>
      </c>
      <c r="E33" s="28">
        <v>1</v>
      </c>
      <c r="F33" s="30" t="s">
        <v>819</v>
      </c>
      <c r="G33" s="52" cm="1">
        <f t="array" ref="G33" xml:space="preserve"> IF( AND( SUMPRODUCT( co_impactYears[2010], --( co_sectors[[#This Row],[sector_id]] = co_impactYears[sector_id] ) ) &gt; 1,  SUMPRODUCT( co_impactYears[2090], --( co_sectors[[#This Row],[sector_id]] = co_impactYears[sector_id] ) ) &gt; 1 ), 1, 0 )</f>
        <v>0</v>
      </c>
      <c r="H33" s="68"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68" t="str">
        <f ca="1" xml:space="preserve"> _xlfn.TEXTJOIN( ", ", 1,
  OFFSET( INDIRECT( ADDRESS( ROW( INDEX( co_impactYears[sector_id], MATCH( co_sectors[[#This Row],[sector_id]], co_impactYears[sector_id], 0 ) ) ),  COLUMN( co_impactYears[[#Headers],[sector_id]] ), , , "controlTables" ) ), 0, 1, 1, 4 )
)</f>
        <v>N/A</v>
      </c>
      <c r="J33" s="6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68" cm="1">
        <f t="array" ref="K33" xml:space="preserve"> SUMPRODUCT( --( co_sectors[[#This Row],[sector_id]] = co_variants[sector_id] ) )</f>
        <v>3</v>
      </c>
      <c r="L33" s="68" cm="1">
        <f t="array" ref="L33" xml:space="preserve"> SUMPRODUCT( --( co_sectors[[#This Row],[sector_id]] = co_impactTypes[sector_id] ) )</f>
        <v>1</v>
      </c>
      <c r="M33" s="68" cm="1">
        <f t="array" ref="M33" xml:space="preserve"> IF( INDEX( co_impactYears[N/A], MATCH( 1, --( co_sectors[[#This Row],[sector_id]] = co_impactYears[sector_id] ), 0 ) ) = "N/A", 1, 2 )</f>
        <v>1</v>
      </c>
      <c r="N33" s="68" cm="1">
        <f t="array" ref="N33" xml:space="preserve"> INDEX( co_modelTypes[Number of models], MATCH( 1, --( co_sectors[[#This Row],[modelType]] = co_modelTypes[modelType_id] ), 0 ) ) + IF( co_sectors[[#This Row],[modelType]] = "gcm", 1, 0 )</f>
        <v>9</v>
      </c>
      <c r="O33" s="68" cm="1">
        <f t="array" ref="O33" xml:space="preserve"> INDEX( co_modelTypes[Number of levels], MATCH( 1, --( co_sectors[[#This Row],[modelType]] = co_modelTypes[modelType_id] ), 0 ) )</f>
        <v>7</v>
      </c>
      <c r="P33" s="68">
        <f xml:space="preserve"> PRODUCT( co_sectors[[#This Row],[Number of variants]:[Number of levels]] )</f>
        <v>189</v>
      </c>
    </row>
    <row r="34" spans="1:21" ht="31.5" x14ac:dyDescent="0.3">
      <c r="B34" s="122">
        <f xml:space="preserve"> ROW( co_sectors[[#This Row],[row_id]] ) - ROW( co_sectors[[#Headers],[row_id]] )</f>
        <v>16</v>
      </c>
      <c r="C34" s="119" t="s">
        <v>216</v>
      </c>
      <c r="D34" s="54" t="s">
        <v>216</v>
      </c>
      <c r="E34" s="29">
        <v>1</v>
      </c>
      <c r="F34" s="30" t="s">
        <v>819</v>
      </c>
      <c r="G34" s="52" cm="1">
        <f t="array" ref="G34" xml:space="preserve"> IF( AND( SUMPRODUCT( co_impactYears[2010], --( co_sectors[[#This Row],[sector_id]] = co_impactYears[sector_id] ) ) &gt; 1,  SUMPRODUCT( co_impactYears[2090], --( co_sectors[[#This Row],[sector_id]] = co_impactYears[sector_id] ) ) &gt; 1 ), 1, 0 )</f>
        <v>0</v>
      </c>
      <c r="H34" s="68"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68" t="str">
        <f ca="1" xml:space="preserve"> _xlfn.TEXTJOIN( ", ", 1,
  OFFSET( INDIRECT( ADDRESS( ROW( INDEX( co_impactYears[sector_id], MATCH( co_sectors[[#This Row],[sector_id]], co_impactYears[sector_id], 0 ) ) ),  COLUMN( co_impactYears[[#Headers],[sector_id]] ), , , "controlTables" ) ), 0, 1, 1, 4 )
)</f>
        <v>N/A</v>
      </c>
      <c r="J34" s="6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68" cm="1">
        <f t="array" ref="K34" xml:space="preserve"> SUMPRODUCT( --( co_sectors[[#This Row],[sector_id]] = co_variants[sector_id] ) )</f>
        <v>3</v>
      </c>
      <c r="L34" s="68" cm="1">
        <f t="array" ref="L34" xml:space="preserve"> SUMPRODUCT( --( co_sectors[[#This Row],[sector_id]] = co_impactTypes[sector_id] ) )</f>
        <v>1</v>
      </c>
      <c r="M34" s="68" cm="1">
        <f t="array" ref="M34" xml:space="preserve"> IF( INDEX( co_impactYears[N/A], MATCH( 1, --( co_sectors[[#This Row],[sector_id]] = co_impactYears[sector_id] ), 0 ) ) = "N/A", 1, 2 )</f>
        <v>1</v>
      </c>
      <c r="N34" s="68" cm="1">
        <f t="array" ref="N34" xml:space="preserve"> INDEX( co_modelTypes[Number of models], MATCH( 1, --( co_sectors[[#This Row],[modelType]] = co_modelTypes[modelType_id] ), 0 ) ) + IF( co_sectors[[#This Row],[modelType]] = "gcm", 1, 0 )</f>
        <v>9</v>
      </c>
      <c r="O34" s="68" cm="1">
        <f t="array" ref="O34" xml:space="preserve"> INDEX( co_modelTypes[Number of levels], MATCH( 1, --( co_sectors[[#This Row],[modelType]] = co_modelTypes[modelType_id] ), 0 ) )</f>
        <v>7</v>
      </c>
      <c r="P34" s="68">
        <f xml:space="preserve"> PRODUCT( co_sectors[[#This Row],[Number of variants]:[Number of levels]] )</f>
        <v>189</v>
      </c>
    </row>
    <row r="35" spans="1:21" ht="42" x14ac:dyDescent="0.3">
      <c r="B35" s="120">
        <f xml:space="preserve"> ROW( co_sectors[[#This Row],[row_id]] ) - ROW( co_sectors[[#Headers],[row_id]] )</f>
        <v>17</v>
      </c>
      <c r="C35" s="121" t="s">
        <v>85</v>
      </c>
      <c r="D35" s="55" t="s">
        <v>197</v>
      </c>
      <c r="E35" s="29">
        <v>1</v>
      </c>
      <c r="F35" s="30" t="s">
        <v>819</v>
      </c>
      <c r="G35" s="52" cm="1">
        <f t="array" ref="G35" xml:space="preserve"> IF( AND( SUMPRODUCT( co_impactYears[2010], --( co_sectors[[#This Row],[sector_id]] = co_impactYears[sector_id] ) ) &gt; 1,  SUMPRODUCT( co_impactYears[2090], --( co_sectors[[#This Row],[sector_id]] = co_impactYears[sector_id] ) ) &gt; 1 ), 1, 0 )</f>
        <v>1</v>
      </c>
      <c r="H35" s="68"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68" t="str">
        <f ca="1" xml:space="preserve"> _xlfn.TEXTJOIN( ", ", 1,
  OFFSET( INDIRECT( ADDRESS( ROW( INDEX( co_impactYears[sector_id], MATCH( co_sectors[[#This Row],[sector_id]], co_impactYears[sector_id], 0 ) ) ),  COLUMN( co_impactYears[[#Headers],[sector_id]] ), , , "controlTables" ) ), 0, 1, 1, 4 )
)</f>
        <v>2010, 2090</v>
      </c>
      <c r="J35" s="6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68" cm="1">
        <f t="array" ref="K35" xml:space="preserve"> SUMPRODUCT( --( co_sectors[[#This Row],[sector_id]] = co_variants[sector_id] ) )</f>
        <v>1</v>
      </c>
      <c r="L35" s="68" cm="1">
        <f t="array" ref="L35" xml:space="preserve"> SUMPRODUCT( --( co_sectors[[#This Row],[sector_id]] = co_impactTypes[sector_id] ) )</f>
        <v>5</v>
      </c>
      <c r="M35" s="68" cm="1">
        <f t="array" ref="M35" xml:space="preserve"> IF( INDEX( co_impactYears[N/A], MATCH( 1, --( co_sectors[[#This Row],[sector_id]] = co_impactYears[sector_id] ), 0 ) ) = "N/A", 1, 2 )</f>
        <v>2</v>
      </c>
      <c r="N35" s="68" cm="1">
        <f t="array" ref="N35" xml:space="preserve"> INDEX( co_modelTypes[Number of models], MATCH( 1, --( co_sectors[[#This Row],[modelType]] = co_modelTypes[modelType_id] ), 0 ) ) + IF( co_sectors[[#This Row],[modelType]] = "gcm", 1, 0 )</f>
        <v>9</v>
      </c>
      <c r="O35" s="68" cm="1">
        <f t="array" ref="O35" xml:space="preserve"> INDEX( co_modelTypes[Number of levels], MATCH( 1, --( co_sectors[[#This Row],[modelType]] = co_modelTypes[modelType_id] ), 0 ) )</f>
        <v>7</v>
      </c>
      <c r="P35" s="68">
        <f xml:space="preserve"> PRODUCT( co_sectors[[#This Row],[Number of variants]:[Number of levels]] )</f>
        <v>630</v>
      </c>
    </row>
    <row r="36" spans="1:21" x14ac:dyDescent="0.3">
      <c r="B36" s="122">
        <f xml:space="preserve"> ROW( co_sectors[[#This Row],[row_id]] ) - ROW( co_sectors[[#Headers],[row_id]] )</f>
        <v>18</v>
      </c>
      <c r="C36" s="124" t="s">
        <v>225</v>
      </c>
      <c r="D36" s="54" t="s">
        <v>226</v>
      </c>
      <c r="E36" s="28">
        <v>1</v>
      </c>
      <c r="F36" s="30" t="s">
        <v>819</v>
      </c>
      <c r="G36" s="52" cm="1">
        <f t="array" ref="G36" xml:space="preserve"> IF( AND( SUMPRODUCT( co_impactYears[2010], --( co_sectors[[#This Row],[sector_id]] = co_impactYears[sector_id] ) ) &gt; 1,  SUMPRODUCT( co_impactYears[2090], --( co_sectors[[#This Row],[sector_id]] = co_impactYears[sector_id] ) ) &gt; 1 ), 1, 0 )</f>
        <v>0</v>
      </c>
      <c r="H36" s="68"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68" t="str">
        <f ca="1" xml:space="preserve"> _xlfn.TEXTJOIN( ", ", 1,
  OFFSET( INDIRECT( ADDRESS( ROW( INDEX( co_impactYears[sector_id], MATCH( co_sectors[[#This Row],[sector_id]], co_impactYears[sector_id], 0 ) ) ),  COLUMN( co_impactYears[[#Headers],[sector_id]] ), , , "controlTables" ) ), 0, 1, 1, 4 )
)</f>
        <v>N/A</v>
      </c>
      <c r="J36" s="6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68" cm="1">
        <f t="array" ref="K36" xml:space="preserve"> SUMPRODUCT( --( co_sectors[[#This Row],[sector_id]] = co_variants[sector_id] ) )</f>
        <v>1</v>
      </c>
      <c r="L36" s="68" cm="1">
        <f t="array" ref="L36" xml:space="preserve"> SUMPRODUCT( --( co_sectors[[#This Row],[sector_id]] = co_impactTypes[sector_id] ) )</f>
        <v>1</v>
      </c>
      <c r="M36" s="68" cm="1">
        <f t="array" ref="M36" xml:space="preserve"> IF( INDEX( co_impactYears[N/A], MATCH( 1, --( co_sectors[[#This Row],[sector_id]] = co_impactYears[sector_id] ), 0 ) ) = "N/A", 1, 2 )</f>
        <v>1</v>
      </c>
      <c r="N36" s="68" cm="1">
        <f t="array" ref="N36" xml:space="preserve"> INDEX( co_modelTypes[Number of models], MATCH( 1, --( co_sectors[[#This Row],[modelType]] = co_modelTypes[modelType_id] ), 0 ) ) + IF( co_sectors[[#This Row],[modelType]] = "gcm", 1, 0 )</f>
        <v>9</v>
      </c>
      <c r="O36" s="68" cm="1">
        <f t="array" ref="O36" xml:space="preserve"> INDEX( co_modelTypes[Number of levels], MATCH( 1, --( co_sectors[[#This Row],[modelType]] = co_modelTypes[modelType_id] ), 0 ) )</f>
        <v>7</v>
      </c>
      <c r="P36" s="68">
        <f xml:space="preserve"> PRODUCT( co_sectors[[#This Row],[Number of variants]:[Number of levels]] )</f>
        <v>63</v>
      </c>
    </row>
    <row r="37" spans="1:21" ht="21" x14ac:dyDescent="0.3">
      <c r="B37" s="120">
        <f xml:space="preserve"> ROW( co_sectors[[#This Row],[row_id]] ) - ROW( co_sectors[[#Headers],[row_id]] )</f>
        <v>19</v>
      </c>
      <c r="C37" s="121" t="s">
        <v>983</v>
      </c>
      <c r="D37" s="55" t="s">
        <v>984</v>
      </c>
      <c r="E37" s="29">
        <v>1</v>
      </c>
      <c r="F37" s="31" t="s">
        <v>819</v>
      </c>
      <c r="G37" s="52" cm="1">
        <f t="array" ref="G37" xml:space="preserve"> IF( AND( SUMPRODUCT( co_impactYears[2010], --( co_sectors[[#This Row],[sector_id]] = co_impactYears[sector_id] ) ) &gt; 1,  SUMPRODUCT( co_impactYears[2090], --( co_sectors[[#This Row],[sector_id]] = co_impactYears[sector_id] ) ) &gt; 1 ), 1, 0 )</f>
        <v>0</v>
      </c>
      <c r="H37" s="68"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68" t="str">
        <f ca="1" xml:space="preserve"> _xlfn.TEXTJOIN( ", ", 1,
  OFFSET( INDIRECT( ADDRESS( ROW( INDEX( co_impactYears[sector_id], MATCH( co_sectors[[#This Row],[sector_id]], co_impactYears[sector_id], 0 ) ) ),  COLUMN( co_impactYears[[#Headers],[sector_id]] ), , , "controlTables" ) ), 0, 1, 1, 4 )
)</f>
        <v>N/A</v>
      </c>
      <c r="J37" s="68"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68" cm="1">
        <f t="array" ref="K37" xml:space="preserve"> SUMPRODUCT( --( co_sectors[[#This Row],[sector_id]] = co_variants[sector_id] ) )</f>
        <v>1</v>
      </c>
      <c r="L37" s="68" cm="1">
        <f t="array" ref="L37" xml:space="preserve"> SUMPRODUCT( --( co_sectors[[#This Row],[sector_id]] = co_impactTypes[sector_id] ) )</f>
        <v>3</v>
      </c>
      <c r="M37" s="68" cm="1">
        <f t="array" ref="M37" xml:space="preserve"> IF( INDEX( co_impactYears[N/A], MATCH( 1, --( co_sectors[[#This Row],[sector_id]] = co_impactYears[sector_id] ), 0 ) ) = "N/A", 1, 2 )</f>
        <v>1</v>
      </c>
      <c r="N37" s="68" cm="1">
        <f t="array" ref="N37" xml:space="preserve"> INDEX( co_modelTypes[Number of models], MATCH( 1, --( co_sectors[[#This Row],[modelType]] = co_modelTypes[modelType_id] ), 0 ) ) + IF( co_sectors[[#This Row],[modelType]] = "gcm", 1, 0 )</f>
        <v>9</v>
      </c>
      <c r="O37" s="68" cm="1">
        <f t="array" ref="O37" xml:space="preserve"> INDEX( co_modelTypes[Number of levels], MATCH( 1, --( co_sectors[[#This Row],[modelType]] = co_modelTypes[modelType_id] ), 0 ) )</f>
        <v>7</v>
      </c>
      <c r="P37" s="68">
        <f xml:space="preserve"> PRODUCT( co_sectors[[#This Row],[Number of variants]:[Number of levels]] )</f>
        <v>189</v>
      </c>
    </row>
    <row r="38" spans="1:21" ht="21" x14ac:dyDescent="0.3">
      <c r="B38" s="122">
        <f xml:space="preserve"> ROW( co_sectors[[#This Row],[row_id]] ) - ROW( co_sectors[[#Headers],[row_id]] )</f>
        <v>20</v>
      </c>
      <c r="C38" s="124" t="s">
        <v>1303</v>
      </c>
      <c r="D38" s="54" t="s">
        <v>1303</v>
      </c>
      <c r="E38" s="28">
        <v>1</v>
      </c>
      <c r="F38" s="31" t="s">
        <v>819</v>
      </c>
      <c r="G38" s="52" cm="1">
        <f t="array" ref="G38" xml:space="preserve"> IF( AND( SUMPRODUCT( co_impactYears[2010], --( co_sectors[[#This Row],[sector_id]] = co_impactYears[sector_id] ) ) &gt; 1,  SUMPRODUCT( co_impactYears[2090], --( co_sectors[[#This Row],[sector_id]] = co_impactYears[sector_id] ) ) &gt; 1 ), 1, 0 )</f>
        <v>0</v>
      </c>
      <c r="H38" s="68"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68" t="str">
        <f ca="1" xml:space="preserve"> _xlfn.TEXTJOIN( ", ", 1,
  OFFSET( INDIRECT( ADDRESS( ROW( INDEX( co_impactYears[sector_id], MATCH( co_sectors[[#This Row],[sector_id]], co_impactYears[sector_id], 0 ) ) ),  COLUMN( co_impactYears[[#Headers],[sector_id]] ), , , "controlTables" ) ), 0, 1, 1, 4 )
)</f>
        <v>N/A</v>
      </c>
      <c r="J38" s="68"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K38" s="68" cm="1">
        <f t="array" ref="K38" xml:space="preserve"> SUMPRODUCT( --( co_sectors[[#This Row],[sector_id]] = co_variants[sector_id] ) )</f>
        <v>1</v>
      </c>
      <c r="L38" s="68" cm="1">
        <f t="array" ref="L38" xml:space="preserve"> SUMPRODUCT( --( co_sectors[[#This Row],[sector_id]] = co_impactTypes[sector_id] ) )</f>
        <v>3</v>
      </c>
      <c r="M38" s="68" cm="1">
        <f t="array" ref="M38" xml:space="preserve"> IF( INDEX( co_impactYears[N/A], MATCH( 1, --( co_sectors[[#This Row],[sector_id]] = co_impactYears[sector_id] ), 0 ) ) = "N/A", 1, 2 )</f>
        <v>1</v>
      </c>
      <c r="N38" s="68" cm="1">
        <f t="array" ref="N38" xml:space="preserve"> INDEX( co_modelTypes[Number of models], MATCH( 1, --( co_sectors[[#This Row],[modelType]] = co_modelTypes[modelType_id] ), 0 ) ) + IF( co_sectors[[#This Row],[modelType]] = "gcm", 1, 0 )</f>
        <v>9</v>
      </c>
      <c r="O38" s="68" cm="1">
        <f t="array" ref="O38" xml:space="preserve"> INDEX( co_modelTypes[Number of levels], MATCH( 1, --( co_sectors[[#This Row],[modelType]] = co_modelTypes[modelType_id] ), 0 ) )</f>
        <v>7</v>
      </c>
      <c r="P38" s="68">
        <f xml:space="preserve"> PRODUCT( co_sectors[[#This Row],[Number of variants]:[Number of levels]] )</f>
        <v>189</v>
      </c>
    </row>
    <row r="39" spans="1:21" x14ac:dyDescent="0.3">
      <c r="B39" s="120">
        <f xml:space="preserve"> ROW( co_sectors[[#This Row],[row_id]] ) - ROW( co_sectors[[#Headers],[row_id]] )</f>
        <v>21</v>
      </c>
      <c r="C39" s="121" t="s">
        <v>227</v>
      </c>
      <c r="D39" s="55" t="s">
        <v>228</v>
      </c>
      <c r="E39" s="28">
        <v>1</v>
      </c>
      <c r="F39" s="30" t="s">
        <v>819</v>
      </c>
      <c r="G39" s="52" cm="1">
        <f t="array" ref="G39" xml:space="preserve"> IF( AND( SUMPRODUCT( co_impactYears[2010], --( co_sectors[[#This Row],[sector_id]] = co_impactYears[sector_id] ) ) &gt; 1,  SUMPRODUCT( co_impactYears[2090], --( co_sectors[[#This Row],[sector_id]] = co_impactYears[sector_id] ) ) &gt; 1 ), 1, 0 )</f>
        <v>0</v>
      </c>
      <c r="H39" s="68"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68" t="str">
        <f ca="1" xml:space="preserve"> _xlfn.TEXTJOIN( ", ", 1,
  OFFSET( INDIRECT( ADDRESS( ROW( INDEX( co_impactYears[sector_id], MATCH( co_sectors[[#This Row],[sector_id]], co_impactYears[sector_id], 0 ) ) ),  COLUMN( co_impactYears[[#Headers],[sector_id]] ), , , "controlTables" ) ), 0, 1, 1, 4 )
)</f>
        <v>N/A</v>
      </c>
      <c r="J39" s="68"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N/A</v>
      </c>
      <c r="K39" s="68" cm="1">
        <f t="array" ref="K39" xml:space="preserve"> SUMPRODUCT( --( co_sectors[[#This Row],[sector_id]] = co_variants[sector_id] ) )</f>
        <v>1</v>
      </c>
      <c r="L39" s="68" cm="1">
        <f t="array" ref="L39" xml:space="preserve"> SUMPRODUCT( --( co_sectors[[#This Row],[sector_id]] = co_impactTypes[sector_id] ) )</f>
        <v>1</v>
      </c>
      <c r="M39" s="68" cm="1">
        <f t="array" ref="M39" xml:space="preserve"> IF( INDEX( co_impactYears[N/A], MATCH( 1, --( co_sectors[[#This Row],[sector_id]] = co_impactYears[sector_id] ), 0 ) ) = "N/A", 1, 2 )</f>
        <v>1</v>
      </c>
      <c r="N39" s="68" cm="1">
        <f t="array" ref="N39" xml:space="preserve"> INDEX( co_modelTypes[Number of models], MATCH( 1, --( co_sectors[[#This Row],[modelType]] = co_modelTypes[modelType_id] ), 0 ) ) + IF( co_sectors[[#This Row],[modelType]] = "gcm", 1, 0 )</f>
        <v>9</v>
      </c>
      <c r="O39" s="68" cm="1">
        <f t="array" ref="O39" xml:space="preserve"> INDEX( co_modelTypes[Number of levels], MATCH( 1, --( co_sectors[[#This Row],[modelType]] = co_modelTypes[modelType_id] ), 0 ) )</f>
        <v>7</v>
      </c>
      <c r="P39" s="68">
        <f xml:space="preserve"> PRODUCT( co_sectors[[#This Row],[Number of variants]:[Number of levels]] )</f>
        <v>63</v>
      </c>
    </row>
    <row r="40" spans="1:21" ht="21" x14ac:dyDescent="0.3">
      <c r="B40" s="120">
        <f xml:space="preserve"> ROW( co_sectors[[#This Row],[row_id]] ) - ROW( co_sectors[[#Headers],[row_id]] )</f>
        <v>22</v>
      </c>
      <c r="C40" s="121" t="s">
        <v>761</v>
      </c>
      <c r="D40" s="55" t="s">
        <v>761</v>
      </c>
      <c r="E40" s="28">
        <v>1</v>
      </c>
      <c r="F40" s="30" t="s">
        <v>819</v>
      </c>
      <c r="G40" s="52" cm="1">
        <f t="array" ref="G40" xml:space="preserve"> IF( AND( SUMPRODUCT( co_impactYears[2010], --( co_sectors[[#This Row],[sector_id]] = co_impactYears[sector_id] ) ) &gt; 1,  SUMPRODUCT( co_impactYears[2090], --( co_sectors[[#This Row],[sector_id]] = co_impactYears[sector_id] ) ) &gt; 1 ), 1, 0 )</f>
        <v>0</v>
      </c>
      <c r="H40" s="68"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68" t="str">
        <f ca="1" xml:space="preserve"> _xlfn.TEXTJOIN( ", ", 1,
  OFFSET( INDIRECT( ADDRESS( ROW( INDEX( co_impactYears[sector_id], MATCH( co_sectors[[#This Row],[sector_id]], co_impactYears[sector_id], 0 ) ) ),  COLUMN( co_impactYears[[#Headers],[sector_id]] ), , , "controlTables" ) ), 0, 1, 1, 4 )
)</f>
        <v>N/A</v>
      </c>
      <c r="J40" s="68"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40" s="68" cm="1">
        <f t="array" ref="K40" xml:space="preserve"> SUMPRODUCT( --( co_sectors[[#This Row],[sector_id]] = co_variants[sector_id] ) )</f>
        <v>1</v>
      </c>
      <c r="L40" s="68" cm="1">
        <f t="array" ref="L40" xml:space="preserve"> SUMPRODUCT( --( co_sectors[[#This Row],[sector_id]] = co_impactTypes[sector_id] ) )</f>
        <v>3</v>
      </c>
      <c r="M40" s="68" cm="1">
        <f t="array" ref="M40" xml:space="preserve"> IF( INDEX( co_impactYears[N/A], MATCH( 1, --( co_sectors[[#This Row],[sector_id]] = co_impactYears[sector_id] ), 0 ) ) = "N/A", 1, 2 )</f>
        <v>1</v>
      </c>
      <c r="N40" s="68" cm="1">
        <f t="array" ref="N40" xml:space="preserve"> INDEX( co_modelTypes[Number of models], MATCH( 1, --( co_sectors[[#This Row],[modelType]] = co_modelTypes[modelType_id] ), 0 ) ) + IF( co_sectors[[#This Row],[modelType]] = "gcm", 1, 0 )</f>
        <v>9</v>
      </c>
      <c r="O40" s="68" cm="1">
        <f t="array" ref="O40" xml:space="preserve"> INDEX( co_modelTypes[Number of levels], MATCH( 1, --( co_sectors[[#This Row],[modelType]] = co_modelTypes[modelType_id] ), 0 ) )</f>
        <v>7</v>
      </c>
      <c r="P40" s="68">
        <f xml:space="preserve"> PRODUCT( co_sectors[[#This Row],[Number of variants]:[Number of levels]] )</f>
        <v>189</v>
      </c>
    </row>
    <row r="41" spans="1:21" x14ac:dyDescent="0.3">
      <c r="B41" s="120">
        <f xml:space="preserve"> ROW( co_sectors[[#This Row],[row_id]] ) - ROW( co_sectors[[#Headers],[row_id]] )</f>
        <v>23</v>
      </c>
      <c r="C41" s="124" t="s">
        <v>1088</v>
      </c>
      <c r="D41" s="54" t="s">
        <v>1098</v>
      </c>
      <c r="E41" s="28">
        <v>1</v>
      </c>
      <c r="F41" s="31" t="s">
        <v>819</v>
      </c>
      <c r="G41" s="52" cm="1">
        <f t="array" ref="G41" xml:space="preserve"> IF( AND( SUMPRODUCT( co_impactYears[2010], --( co_sectors[[#This Row],[sector_id]] = co_impactYears[sector_id] ) ) &gt; 1,  SUMPRODUCT( co_impactYears[2090], --( co_sectors[[#This Row],[sector_id]] = co_impactYears[sector_id] ) ) &gt; 1 ), 1, 0 )</f>
        <v>0</v>
      </c>
      <c r="H41" s="68"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68" t="str">
        <f ca="1" xml:space="preserve"> _xlfn.TEXTJOIN( ", ", 1,
  OFFSET( INDIRECT( ADDRESS( ROW( INDEX( co_impactYears[sector_id], MATCH( co_sectors[[#This Row],[sector_id]], co_impactYears[sector_id], 0 ) ) ),  COLUMN( co_impactYears[[#Headers],[sector_id]] ), , , "controlTables" ) ), 0, 1, 1, 4 )
)</f>
        <v>N/A</v>
      </c>
      <c r="J41" s="68"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N/A</v>
      </c>
      <c r="K41" s="68" cm="1">
        <f t="array" ref="K41" xml:space="preserve"> SUMPRODUCT( --( co_sectors[[#This Row],[sector_id]] = co_variants[sector_id] ) )</f>
        <v>1</v>
      </c>
      <c r="L41" s="68" cm="1">
        <f t="array" ref="L41" xml:space="preserve"> SUMPRODUCT( --( co_sectors[[#This Row],[sector_id]] = co_impactTypes[sector_id] ) )</f>
        <v>1</v>
      </c>
      <c r="M41" s="68" cm="1">
        <f t="array" ref="M41" xml:space="preserve"> IF( INDEX( co_impactYears[N/A], MATCH( 1, --( co_sectors[[#This Row],[sector_id]] = co_impactYears[sector_id] ), 0 ) ) = "N/A", 1, 2 )</f>
        <v>1</v>
      </c>
      <c r="N41" s="68" cm="1">
        <f t="array" ref="N41" xml:space="preserve"> INDEX( co_modelTypes[Number of models], MATCH( 1, --( co_sectors[[#This Row],[modelType]] = co_modelTypes[modelType_id] ), 0 ) ) + IF( co_sectors[[#This Row],[modelType]] = "gcm", 1, 0 )</f>
        <v>9</v>
      </c>
      <c r="O41" s="68" cm="1">
        <f t="array" ref="O41" xml:space="preserve"> INDEX( co_modelTypes[Number of levels], MATCH( 1, --( co_sectors[[#This Row],[modelType]] = co_modelTypes[modelType_id] ), 0 ) )</f>
        <v>7</v>
      </c>
      <c r="P41" s="68">
        <f xml:space="preserve"> PRODUCT( co_sectors[[#This Row],[Number of variants]:[Number of levels]] )</f>
        <v>63</v>
      </c>
    </row>
    <row r="42" spans="1:21" ht="21" x14ac:dyDescent="0.3">
      <c r="B42" s="120">
        <f xml:space="preserve"> ROW( co_sectors[[#This Row],[row_id]] ) - ROW( co_sectors[[#Headers],[row_id]] )</f>
        <v>24</v>
      </c>
      <c r="C42" s="124" t="s">
        <v>89</v>
      </c>
      <c r="D42" s="54" t="s">
        <v>196</v>
      </c>
      <c r="E42" s="28">
        <v>1</v>
      </c>
      <c r="F42" s="30" t="s">
        <v>819</v>
      </c>
      <c r="G42" s="52" cm="1">
        <f t="array" ref="G42" xml:space="preserve"> IF( AND( SUMPRODUCT( co_impactYears[2010], --( co_sectors[[#This Row],[sector_id]] = co_impactYears[sector_id] ) ) &gt; 1,  SUMPRODUCT( co_impactYears[2090], --( co_sectors[[#This Row],[sector_id]] = co_impactYears[sector_id] ) ) &gt; 1 ), 1, 0 )</f>
        <v>1</v>
      </c>
      <c r="H42" s="68" t="str" cm="1">
        <f t="array" aca="1" ref="H42" ca="1" xml:space="preserve"> _xlfn.TEXTJOIN( ", ", 1,
  IF( OFFSET( INDIRECT( ADDRESS( ROW( co_variants[[#Headers],[row_id]] ),  COLUMN( co_variants[[#Headers],[sector_id]] ), , , "controlTables" ) ), 1, 0, MAX( co_variants[row_id] ), 1 ) = co_sectors[[#This Row],[sector_id]], co_variants[variant_label], "" )
)</f>
        <v>N/A</v>
      </c>
      <c r="I42" s="68" t="str">
        <f ca="1" xml:space="preserve"> _xlfn.TEXTJOIN( ", ", 1,
  OFFSET( INDIRECT( ADDRESS( ROW( INDEX( co_impactYears[sector_id], MATCH( co_sectors[[#This Row],[sector_id]], co_impactYears[sector_id], 0 ) ) ),  COLUMN( co_impactYears[[#Headers],[sector_id]] ), , , "controlTables" ) ), 0, 1, 1, 4 )
)</f>
        <v>2010, 2090</v>
      </c>
      <c r="J42" s="68" t="str" cm="1">
        <f t="array" aca="1" ref="J42"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2" s="68" cm="1">
        <f t="array" ref="K42" xml:space="preserve"> SUMPRODUCT( --( co_sectors[[#This Row],[sector_id]] = co_variants[sector_id] ) )</f>
        <v>1</v>
      </c>
      <c r="L42" s="68" cm="1">
        <f t="array" ref="L42" xml:space="preserve"> SUMPRODUCT( --( co_sectors[[#This Row],[sector_id]] = co_impactTypes[sector_id] ) )</f>
        <v>3</v>
      </c>
      <c r="M42" s="68" cm="1">
        <f t="array" ref="M42" xml:space="preserve"> IF( INDEX( co_impactYears[N/A], MATCH( 1, --( co_sectors[[#This Row],[sector_id]] = co_impactYears[sector_id] ), 0 ) ) = "N/A", 1, 2 )</f>
        <v>2</v>
      </c>
      <c r="N42" s="68" cm="1">
        <f t="array" ref="N42" xml:space="preserve"> INDEX( co_modelTypes[Number of models], MATCH( 1, --( co_sectors[[#This Row],[modelType]] = co_modelTypes[modelType_id] ), 0 ) ) + IF( co_sectors[[#This Row],[modelType]] = "gcm", 1, 0 )</f>
        <v>9</v>
      </c>
      <c r="O42" s="68" cm="1">
        <f t="array" ref="O42" xml:space="preserve"> INDEX( co_modelTypes[Number of levels], MATCH( 1, --( co_sectors[[#This Row],[modelType]] = co_modelTypes[modelType_id] ), 0 ) )</f>
        <v>7</v>
      </c>
      <c r="P42" s="68">
        <f xml:space="preserve"> PRODUCT( co_sectors[[#This Row],[Number of variants]:[Number of levels]] )</f>
        <v>378</v>
      </c>
    </row>
    <row r="44" spans="1:21" ht="14.5" x14ac:dyDescent="0.35">
      <c r="A44" s="47"/>
      <c r="B44" s="48" t="s">
        <v>1028</v>
      </c>
      <c r="C44" s="48"/>
      <c r="D44" s="48"/>
      <c r="E44" s="48"/>
      <c r="F44" s="48"/>
      <c r="G44" s="48"/>
      <c r="H44" s="48"/>
      <c r="I44" s="48"/>
      <c r="J44" s="48"/>
      <c r="K44" s="48"/>
      <c r="L44" s="48"/>
      <c r="M44" s="48"/>
      <c r="N44" s="48"/>
      <c r="O44" s="48"/>
      <c r="P44" s="48"/>
      <c r="Q44" s="48"/>
      <c r="R44" s="48"/>
      <c r="S44" s="48"/>
      <c r="T44" s="48"/>
      <c r="U44" s="48"/>
    </row>
    <row r="46" spans="1:21" x14ac:dyDescent="0.3">
      <c r="B46" s="60" t="s">
        <v>780</v>
      </c>
      <c r="C46" s="60" t="s">
        <v>219</v>
      </c>
      <c r="D46" s="62" t="s">
        <v>201</v>
      </c>
      <c r="E46" s="31" t="s">
        <v>902</v>
      </c>
      <c r="F46" s="62" t="s">
        <v>903</v>
      </c>
    </row>
    <row r="47" spans="1:21" x14ac:dyDescent="0.3">
      <c r="B47" s="7">
        <f xml:space="preserve"> ROW( co_impactYears[[#This Row],[row_id]] ) - ROW(co_impactYears[[#Headers],[row_id]] )</f>
        <v>1</v>
      </c>
      <c r="C47" s="14" t="s">
        <v>559</v>
      </c>
      <c r="D47" s="62" t="str" cm="1">
        <f t="array" ref="D47" xml:space="preserve"> IF( SUMPRODUCT( --( VALUE( controlTables!E$46 ) = data_scaledImpacts[impactYear] ), --( co_impactYears[[#This Row],[sector_id]] = data_scaledImpacts[sector] ) ) &gt; 0, "", controlTables!D$46  )</f>
        <v>N/A</v>
      </c>
      <c r="E47" s="31" t="str" cm="1">
        <f t="array" ref="E47" xml:space="preserve"> IF( SUMPRODUCT( --( VALUE( controlTables!E$46 ) = data_scaledImpacts[impactYear] ), --( co_impactYears[[#This Row],[sector_id]] = data_scaledImpacts[sector] ) ) &gt; 0, VALUE( controlTables!E$46 ), "" )</f>
        <v/>
      </c>
      <c r="F47" s="62" t="str" cm="1">
        <f t="array" ref="F47" xml:space="preserve"> IF( SUMPRODUCT( --( VALUE( controlTables!F$46 ) = data_scaledImpacts[impactYear] ), --( co_impactYears[[#This Row],[sector_id]] = data_scaledImpacts[sector] ) ) &gt; 0, VALUE( controlTables!F$46 ), "" )</f>
        <v/>
      </c>
    </row>
    <row r="48" spans="1:21" x14ac:dyDescent="0.3">
      <c r="B48" s="7">
        <f xml:space="preserve"> ROW( co_impactYears[[#This Row],[row_id]] ) - ROW(co_impactYears[[#Headers],[row_id]] )</f>
        <v>2</v>
      </c>
      <c r="C48" s="14" t="s">
        <v>1005</v>
      </c>
      <c r="D48" s="62" t="str" cm="1">
        <f t="array" ref="D48" xml:space="preserve"> IF( SUMPRODUCT( --( VALUE( controlTables!E$46 ) = data_scaledImpacts[impactYear] ), --( co_impactYears[[#This Row],[sector_id]] = data_scaledImpacts[sector] ) ) &gt; 0, "", controlTables!D$46  )</f>
        <v>N/A</v>
      </c>
      <c r="E48" s="31" t="str" cm="1">
        <f t="array" ref="E48" xml:space="preserve"> IF( SUMPRODUCT( --( VALUE( controlTables!E$46 ) = data_scaledImpacts[impactYear] ), --( co_impactYears[[#This Row],[sector_id]] = data_scaledImpacts[sector] ) ) &gt; 0, VALUE( controlTables!E$46 ), "" )</f>
        <v/>
      </c>
      <c r="F48" s="62" t="str" cm="1">
        <f t="array" ref="F48" xml:space="preserve"> IF( SUMPRODUCT( --( VALUE( controlTables!F$46 ) = data_scaledImpacts[impactYear] ), --( co_impactYears[[#This Row],[sector_id]] = data_scaledImpacts[sector] ) ) &gt; 0, VALUE( controlTables!F$46 ), "" )</f>
        <v/>
      </c>
    </row>
    <row r="49" spans="2:6" x14ac:dyDescent="0.3">
      <c r="B49" s="7">
        <f xml:space="preserve"> ROW( co_impactYears[[#This Row],[row_id]] ) - ROW(co_impactYears[[#Headers],[row_id]] )</f>
        <v>3</v>
      </c>
      <c r="C49" s="14" t="s">
        <v>1247</v>
      </c>
      <c r="D49" s="62" t="str" cm="1">
        <f t="array" ref="D49" xml:space="preserve"> IF( SUMPRODUCT( --( VALUE( controlTables!E$46 ) = data_scaledImpacts[impactYear] ), --( co_impactYears[[#This Row],[sector_id]] = data_scaledImpacts[sector] ) ) &gt; 0, "", controlTables!D$46  )</f>
        <v>N/A</v>
      </c>
      <c r="E49" s="31" t="str" cm="1">
        <f t="array" ref="E49" xml:space="preserve"> IF( SUMPRODUCT( --( VALUE( controlTables!E$46 ) = data_scaledImpacts[impactYear] ), --( co_impactYears[[#This Row],[sector_id]] = data_scaledImpacts[sector] ) ) &gt; 0, VALUE( controlTables!E$46 ), "" )</f>
        <v/>
      </c>
      <c r="F49" s="62" t="str" cm="1">
        <f t="array" ref="F49" xml:space="preserve"> IF( SUMPRODUCT( --( VALUE( controlTables!F$46 ) = data_scaledImpacts[impactYear] ), --( co_impactYears[[#This Row],[sector_id]] = data_scaledImpacts[sector] ) ) &gt; 0, VALUE( controlTables!F$46 ), "" )</f>
        <v/>
      </c>
    </row>
    <row r="50" spans="2:6" x14ac:dyDescent="0.3">
      <c r="B50" s="7">
        <f xml:space="preserve"> ROW( co_impactYears[[#This Row],[row_id]] ) - ROW(co_impactYears[[#Headers],[row_id]] )</f>
        <v>4</v>
      </c>
      <c r="C50" s="14" t="s">
        <v>1229</v>
      </c>
      <c r="D50" s="62" t="str" cm="1">
        <f t="array" ref="D50" xml:space="preserve"> IF( SUMPRODUCT( --( VALUE( controlTables!E$46 ) = data_scaledImpacts[impactYear] ), --( co_impactYears[[#This Row],[sector_id]] = data_scaledImpacts[sector] ) ) &gt; 0, "", controlTables!D$46  )</f>
        <v>N/A</v>
      </c>
      <c r="E50" s="31" t="str" cm="1">
        <f t="array" ref="E50" xml:space="preserve"> IF( SUMPRODUCT( --( VALUE( controlTables!E$46 ) = data_scaledImpacts[impactYear] ), --( co_impactYears[[#This Row],[sector_id]] = data_scaledImpacts[sector] ) ) &gt; 0, VALUE( controlTables!E$46 ), "" )</f>
        <v/>
      </c>
      <c r="F50" s="62" t="str" cm="1">
        <f t="array" ref="F50" xml:space="preserve"> IF( SUMPRODUCT( --( VALUE( controlTables!F$46 ) = data_scaledImpacts[impactYear] ), --( co_impactYears[[#This Row],[sector_id]] = data_scaledImpacts[sector] ) ) &gt; 0, VALUE( controlTables!F$46 ), "" )</f>
        <v/>
      </c>
    </row>
    <row r="51" spans="2:6" x14ac:dyDescent="0.3">
      <c r="B51" s="7">
        <f xml:space="preserve"> ROW( co_impactYears[[#This Row],[row_id]] ) - ROW(co_impactYears[[#Headers],[row_id]] )</f>
        <v>5</v>
      </c>
      <c r="C51" s="14" t="s">
        <v>1230</v>
      </c>
      <c r="D51" s="62" t="str" cm="1">
        <f t="array" ref="D51" xml:space="preserve"> IF( SUMPRODUCT( --( VALUE( controlTables!E$46 ) = data_scaledImpacts[impactYear] ), --( co_impactYears[[#This Row],[sector_id]] = data_scaledImpacts[sector] ) ) &gt; 0, "", controlTables!D$46  )</f>
        <v>N/A</v>
      </c>
      <c r="E51" s="31" t="str" cm="1">
        <f t="array" ref="E51" xml:space="preserve"> IF( SUMPRODUCT( --( VALUE( controlTables!E$46 ) = data_scaledImpacts[impactYear] ), --( co_impactYears[[#This Row],[sector_id]] = data_scaledImpacts[sector] ) ) &gt; 0, VALUE( controlTables!E$46 ), "" )</f>
        <v/>
      </c>
      <c r="F51" s="62" t="str" cm="1">
        <f t="array" ref="F51" xml:space="preserve"> IF( SUMPRODUCT( --( VALUE( controlTables!F$46 ) = data_scaledImpacts[impactYear] ), --( co_impactYears[[#This Row],[sector_id]] = data_scaledImpacts[sector] ) ) &gt; 0, VALUE( controlTables!F$46 ), "" )</f>
        <v/>
      </c>
    </row>
    <row r="52" spans="2:6" x14ac:dyDescent="0.3">
      <c r="B52" s="7">
        <f xml:space="preserve"> ROW( co_impactYears[[#This Row],[row_id]] ) - ROW(co_impactYears[[#Headers],[row_id]] )</f>
        <v>6</v>
      </c>
      <c r="C52" s="14" t="s">
        <v>1159</v>
      </c>
      <c r="D52" s="62" t="str" cm="1">
        <f t="array" ref="D52" xml:space="preserve"> IF( SUMPRODUCT( --( VALUE( controlTables!E$46 ) = data_scaledImpacts[impactYear] ), --( co_impactYears[[#This Row],[sector_id]] = data_scaledImpacts[sector] ) ) &gt; 0, "", controlTables!D$46  )</f>
        <v>N/A</v>
      </c>
      <c r="E52" s="31" t="str" cm="1">
        <f t="array" ref="E52" xml:space="preserve"> IF( SUMPRODUCT( --( VALUE( controlTables!E$46 ) = data_scaledImpacts[impactYear] ), --( co_impactYears[[#This Row],[sector_id]] = data_scaledImpacts[sector] ) ) &gt; 0, VALUE( controlTables!E$46 ), "" )</f>
        <v/>
      </c>
      <c r="F52" s="62" t="str" cm="1">
        <f t="array" ref="F52" xml:space="preserve"> IF( SUMPRODUCT( --( VALUE( controlTables!F$46 ) = data_scaledImpacts[impactYear] ), --( co_impactYears[[#This Row],[sector_id]] = data_scaledImpacts[sector] ) ) &gt; 0, VALUE( controlTables!F$46 ), "" )</f>
        <v/>
      </c>
    </row>
    <row r="53" spans="2:6" x14ac:dyDescent="0.3">
      <c r="B53" s="7">
        <f xml:space="preserve"> ROW( co_impactYears[[#This Row],[row_id]] ) - ROW(co_impactYears[[#Headers],[row_id]] )</f>
        <v>7</v>
      </c>
      <c r="C53" s="14" t="s">
        <v>86</v>
      </c>
      <c r="D53" s="62" t="str" cm="1">
        <f t="array" ref="D53" xml:space="preserve"> IF( SUMPRODUCT( --( VALUE( controlTables!E$46 ) = data_scaledImpacts[impactYear] ), --( co_impactYears[[#This Row],[sector_id]] = data_scaledImpacts[sector] ) ) &gt; 0, "", controlTables!D$46  )</f>
        <v>N/A</v>
      </c>
      <c r="E53" s="31" t="str" cm="1">
        <f t="array" ref="E53" xml:space="preserve"> IF( SUMPRODUCT( --( VALUE( controlTables!E$46 ) = data_scaledImpacts[impactYear] ), --( co_impactYears[[#This Row],[sector_id]] = data_scaledImpacts[sector] ) ) &gt; 0, VALUE( controlTables!E$46 ), "" )</f>
        <v/>
      </c>
      <c r="F53" s="62" t="str" cm="1">
        <f t="array" ref="F53" xml:space="preserve"> IF( SUMPRODUCT( --( VALUE( controlTables!F$46 ) = data_scaledImpacts[impactYear] ), --( co_impactYears[[#This Row],[sector_id]] = data_scaledImpacts[sector] ) ) &gt; 0, VALUE( controlTables!F$46 ), "" )</f>
        <v/>
      </c>
    </row>
    <row r="54" spans="2:6" x14ac:dyDescent="0.3">
      <c r="B54" s="7">
        <f xml:space="preserve"> ROW( co_impactYears[[#This Row],[row_id]] ) - ROW(co_impactYears[[#Headers],[row_id]] )</f>
        <v>8</v>
      </c>
      <c r="C54" s="14" t="s">
        <v>220</v>
      </c>
      <c r="D54" s="62" t="str" cm="1">
        <f t="array" ref="D54" xml:space="preserve"> IF( SUMPRODUCT( --( VALUE( controlTables!E$46 ) = data_scaledImpacts[impactYear] ), --( co_impactYears[[#This Row],[sector_id]] = data_scaledImpacts[sector] ) ) &gt; 0, "", controlTables!D$46  )</f>
        <v>N/A</v>
      </c>
      <c r="E54" s="31" t="str" cm="1">
        <f t="array" ref="E54" xml:space="preserve"> IF( SUMPRODUCT( --( VALUE( controlTables!E$46 ) = data_scaledImpacts[impactYear] ), --( co_impactYears[[#This Row],[sector_id]] = data_scaledImpacts[sector] ) ) &gt; 0, VALUE( controlTables!E$46 ), "" )</f>
        <v/>
      </c>
      <c r="F54" s="62" t="str" cm="1">
        <f t="array" ref="F54" xml:space="preserve"> IF( SUMPRODUCT( --( VALUE( controlTables!F$46 ) = data_scaledImpacts[impactYear] ), --( co_impactYears[[#This Row],[sector_id]] = data_scaledImpacts[sector] ) ) &gt; 0, VALUE( controlTables!F$46 ), "" )</f>
        <v/>
      </c>
    </row>
    <row r="55" spans="2:6" x14ac:dyDescent="0.3">
      <c r="B55" s="7">
        <f xml:space="preserve"> ROW( co_impactYears[[#This Row],[row_id]] ) - ROW(co_impactYears[[#Headers],[row_id]] )</f>
        <v>9</v>
      </c>
      <c r="C55" s="14" t="s">
        <v>1002</v>
      </c>
      <c r="D55" s="62" t="str" cm="1">
        <f t="array" ref="D55" xml:space="preserve"> IF( SUMPRODUCT( --( VALUE( controlTables!E$46 ) = data_scaledImpacts[impactYear] ), --( co_impactYears[[#This Row],[sector_id]] = data_scaledImpacts[sector] ) ) &gt; 0, "", controlTables!D$46  )</f>
        <v>N/A</v>
      </c>
      <c r="E55" s="31" t="str" cm="1">
        <f t="array" ref="E55" xml:space="preserve"> IF( SUMPRODUCT( --( VALUE( controlTables!E$46 ) = data_scaledImpacts[impactYear] ), --( co_impactYears[[#This Row],[sector_id]] = data_scaledImpacts[sector] ) ) &gt; 0, VALUE( controlTables!E$46 ), "" )</f>
        <v/>
      </c>
      <c r="F55" s="62" t="str" cm="1">
        <f t="array" ref="F55" xml:space="preserve"> IF( SUMPRODUCT( --( VALUE( controlTables!F$46 ) = data_scaledImpacts[impactYear] ), --( co_impactYears[[#This Row],[sector_id]] = data_scaledImpacts[sector] ) ) &gt; 0, VALUE( controlTables!F$46 ), "" )</f>
        <v/>
      </c>
    </row>
    <row r="56" spans="2:6" x14ac:dyDescent="0.3">
      <c r="B56" s="7">
        <f xml:space="preserve"> ROW( co_impactYears[[#This Row],[row_id]] ) - ROW(co_impactYears[[#Headers],[row_id]] )</f>
        <v>10</v>
      </c>
      <c r="C56" s="14" t="s">
        <v>17</v>
      </c>
      <c r="D56" s="62" t="str" cm="1">
        <f t="array" ref="D56" xml:space="preserve"> IF( SUMPRODUCT( --( VALUE( controlTables!E$46 ) = data_scaledImpacts[impactYear] ), --( co_impactYears[[#This Row],[sector_id]] = data_scaledImpacts[sector] ) ) &gt; 0, "", controlTables!D$46  )</f>
        <v/>
      </c>
      <c r="E56" s="31" cm="1">
        <f t="array" ref="E56" xml:space="preserve"> IF( SUMPRODUCT( --( VALUE( controlTables!E$46 ) = data_scaledImpacts[impactYear] ), --( co_impactYears[[#This Row],[sector_id]] = data_scaledImpacts[sector] ) ) &gt; 0, VALUE( controlTables!E$46 ), "" )</f>
        <v>2010</v>
      </c>
      <c r="F56" s="62" cm="1">
        <f t="array" ref="F56" xml:space="preserve"> IF( SUMPRODUCT( --( VALUE( controlTables!F$46 ) = data_scaledImpacts[impactYear] ), --( co_impactYears[[#This Row],[sector_id]] = data_scaledImpacts[sector] ) ) &gt; 0, VALUE( controlTables!F$46 ), "" )</f>
        <v>2090</v>
      </c>
    </row>
    <row r="57" spans="2:6" x14ac:dyDescent="0.3">
      <c r="B57" s="7">
        <f xml:space="preserve"> ROW( co_impactYears[[#This Row],[row_id]] ) - ROW(co_impactYears[[#Headers],[row_id]] )</f>
        <v>11</v>
      </c>
      <c r="C57" s="14" t="s">
        <v>221</v>
      </c>
      <c r="D57" s="62" t="str" cm="1">
        <f t="array" ref="D57" xml:space="preserve"> IF( SUMPRODUCT( --( VALUE( controlTables!E$46 ) = data_scaledImpacts[impactYear] ), --( co_impactYears[[#This Row],[sector_id]] = data_scaledImpacts[sector] ) ) &gt; 0, "", controlTables!D$46  )</f>
        <v>N/A</v>
      </c>
      <c r="E57" s="31" t="str" cm="1">
        <f t="array" ref="E57" xml:space="preserve"> IF( SUMPRODUCT( --( VALUE( controlTables!E$46 ) = data_scaledImpacts[impactYear] ), --( co_impactYears[[#This Row],[sector_id]] = data_scaledImpacts[sector] ) ) &gt; 0, VALUE( controlTables!E$46 ), "" )</f>
        <v/>
      </c>
      <c r="F57" s="62" t="str" cm="1">
        <f t="array" ref="F57" xml:space="preserve"> IF( SUMPRODUCT( --( VALUE( controlTables!F$46 ) = data_scaledImpacts[impactYear] ), --( co_impactYears[[#This Row],[sector_id]] = data_scaledImpacts[sector] ) ) &gt; 0, VALUE( controlTables!F$46 ), "" )</f>
        <v/>
      </c>
    </row>
    <row r="58" spans="2:6" x14ac:dyDescent="0.3">
      <c r="B58" s="7">
        <f xml:space="preserve"> ROW( co_impactYears[[#This Row],[row_id]] ) - ROW(co_impactYears[[#Headers],[row_id]] )</f>
        <v>12</v>
      </c>
      <c r="C58" s="14" t="s">
        <v>84</v>
      </c>
      <c r="D58" s="62" t="str" cm="1">
        <f t="array" ref="D58" xml:space="preserve"> IF( SUMPRODUCT( --( VALUE( controlTables!E$46 ) = data_scaledImpacts[impactYear] ), --( co_impactYears[[#This Row],[sector_id]] = data_scaledImpacts[sector] ) ) &gt; 0, "", controlTables!D$46  )</f>
        <v>N/A</v>
      </c>
      <c r="E58" s="31" t="str" cm="1">
        <f t="array" ref="E58" xml:space="preserve"> IF( SUMPRODUCT( --( VALUE( controlTables!E$46 ) = data_scaledImpacts[impactYear] ), --( co_impactYears[[#This Row],[sector_id]] = data_scaledImpacts[sector] ) ) &gt; 0, VALUE( controlTables!E$46 ), "" )</f>
        <v/>
      </c>
      <c r="F58" s="62" t="str" cm="1">
        <f t="array" ref="F58" xml:space="preserve"> IF( SUMPRODUCT( --( VALUE( controlTables!F$46 ) = data_scaledImpacts[impactYear] ), --( co_impactYears[[#This Row],[sector_id]] = data_scaledImpacts[sector] ) ) &gt; 0, VALUE( controlTables!F$46 ), "" )</f>
        <v/>
      </c>
    </row>
    <row r="59" spans="2:6" x14ac:dyDescent="0.3">
      <c r="B59" s="7">
        <f xml:space="preserve"> ROW( co_impactYears[[#This Row],[row_id]] ) - ROW(co_impactYears[[#Headers],[row_id]] )</f>
        <v>13</v>
      </c>
      <c r="C59" s="14" t="s">
        <v>34</v>
      </c>
      <c r="D59" s="62" t="str" cm="1">
        <f t="array" ref="D59" xml:space="preserve"> IF( SUMPRODUCT( --( VALUE( controlTables!E$46 ) = data_scaledImpacts[impactYear] ), --( co_impactYears[[#This Row],[sector_id]] = data_scaledImpacts[sector] ) ) &gt; 0, "", controlTables!D$46  )</f>
        <v>N/A</v>
      </c>
      <c r="E59" s="31" t="str" cm="1">
        <f t="array" ref="E59" xml:space="preserve"> IF( SUMPRODUCT( --( VALUE( controlTables!E$46 ) = data_scaledImpacts[impactYear] ), --( co_impactYears[[#This Row],[sector_id]] = data_scaledImpacts[sector] ) ) &gt; 0, VALUE( controlTables!E$46 ), "" )</f>
        <v/>
      </c>
      <c r="F59" s="62" t="str" cm="1">
        <f t="array" ref="F59" xml:space="preserve"> IF( SUMPRODUCT( --( VALUE( controlTables!F$46 ) = data_scaledImpacts[impactYear] ), --( co_impactYears[[#This Row],[sector_id]] = data_scaledImpacts[sector] ) ) &gt; 0, VALUE( controlTables!F$46 ), "" )</f>
        <v/>
      </c>
    </row>
    <row r="60" spans="2:6" x14ac:dyDescent="0.3">
      <c r="B60" s="7">
        <f xml:space="preserve"> ROW( co_impactYears[[#This Row],[row_id]] ) - ROW(co_impactYears[[#Headers],[row_id]] )</f>
        <v>14</v>
      </c>
      <c r="C60" s="14" t="s">
        <v>223</v>
      </c>
      <c r="D60" s="62" t="str" cm="1">
        <f t="array" ref="D60" xml:space="preserve"> IF( SUMPRODUCT( --( VALUE( controlTables!E$46 ) = data_scaledImpacts[impactYear] ), --( co_impactYears[[#This Row],[sector_id]] = data_scaledImpacts[sector] ) ) &gt; 0, "", controlTables!D$46  )</f>
        <v>N/A</v>
      </c>
      <c r="E60" s="31" t="str" cm="1">
        <f t="array" ref="E60" xml:space="preserve"> IF( SUMPRODUCT( --( VALUE( controlTables!E$46 ) = data_scaledImpacts[impactYear] ), --( co_impactYears[[#This Row],[sector_id]] = data_scaledImpacts[sector] ) ) &gt; 0, VALUE( controlTables!E$46 ), "" )</f>
        <v/>
      </c>
      <c r="F60" s="62" t="str" cm="1">
        <f t="array" ref="F60" xml:space="preserve"> IF( SUMPRODUCT( --( VALUE( controlTables!F$46 ) = data_scaledImpacts[impactYear] ), --( co_impactYears[[#This Row],[sector_id]] = data_scaledImpacts[sector] ) ) &gt; 0, VALUE( controlTables!F$46 ), "" )</f>
        <v/>
      </c>
    </row>
    <row r="61" spans="2:6" x14ac:dyDescent="0.3">
      <c r="B61" s="7">
        <f xml:space="preserve"> ROW( co_impactYears[[#This Row],[row_id]] ) - ROW(co_impactYears[[#Headers],[row_id]] )</f>
        <v>15</v>
      </c>
      <c r="C61" s="14" t="s">
        <v>209</v>
      </c>
      <c r="D61" s="62" t="str" cm="1">
        <f t="array" ref="D61" xml:space="preserve"> IF( SUMPRODUCT( --( VALUE( controlTables!E$46 ) = data_scaledImpacts[impactYear] ), --( co_impactYears[[#This Row],[sector_id]] = data_scaledImpacts[sector] ) ) &gt; 0, "", controlTables!D$46  )</f>
        <v>N/A</v>
      </c>
      <c r="E61" s="31" t="str" cm="1">
        <f t="array" ref="E61" xml:space="preserve"> IF( SUMPRODUCT( --( VALUE( controlTables!E$46 ) = data_scaledImpacts[impactYear] ), --( co_impactYears[[#This Row],[sector_id]] = data_scaledImpacts[sector] ) ) &gt; 0, VALUE( controlTables!E$46 ), "" )</f>
        <v/>
      </c>
      <c r="F61" s="62" t="str" cm="1">
        <f t="array" ref="F61" xml:space="preserve"> IF( SUMPRODUCT( --( VALUE( controlTables!F$46 ) = data_scaledImpacts[impactYear] ), --( co_impactYears[[#This Row],[sector_id]] = data_scaledImpacts[sector] ) ) &gt; 0, VALUE( controlTables!F$46 ), "" )</f>
        <v/>
      </c>
    </row>
    <row r="62" spans="2:6" x14ac:dyDescent="0.3">
      <c r="B62" s="7">
        <f xml:space="preserve"> ROW( co_impactYears[[#This Row],[row_id]] ) - ROW(co_impactYears[[#Headers],[row_id]] )</f>
        <v>16</v>
      </c>
      <c r="C62" s="14" t="s">
        <v>216</v>
      </c>
      <c r="D62" s="62" t="str" cm="1">
        <f t="array" ref="D62" xml:space="preserve"> IF( SUMPRODUCT( --( VALUE( controlTables!E$46 ) = data_scaledImpacts[impactYear] ), --( co_impactYears[[#This Row],[sector_id]] = data_scaledImpacts[sector] ) ) &gt; 0, "", controlTables!D$46  )</f>
        <v>N/A</v>
      </c>
      <c r="E62" s="31" t="str" cm="1">
        <f t="array" ref="E62" xml:space="preserve"> IF( SUMPRODUCT( --( VALUE( controlTables!E$46 ) = data_scaledImpacts[impactYear] ), --( co_impactYears[[#This Row],[sector_id]] = data_scaledImpacts[sector] ) ) &gt; 0, VALUE( controlTables!E$46 ), "" )</f>
        <v/>
      </c>
      <c r="F62" s="62" t="str" cm="1">
        <f t="array" ref="F62" xml:space="preserve"> IF( SUMPRODUCT( --( VALUE( controlTables!F$46 ) = data_scaledImpacts[impactYear] ), --( co_impactYears[[#This Row],[sector_id]] = data_scaledImpacts[sector] ) ) &gt; 0, VALUE( controlTables!F$46 ), "" )</f>
        <v/>
      </c>
    </row>
    <row r="63" spans="2:6" x14ac:dyDescent="0.3">
      <c r="B63" s="7">
        <f xml:space="preserve"> ROW( co_impactYears[[#This Row],[row_id]] ) - ROW(co_impactYears[[#Headers],[row_id]] )</f>
        <v>17</v>
      </c>
      <c r="C63" s="14" t="s">
        <v>85</v>
      </c>
      <c r="D63" s="62" t="str" cm="1">
        <f t="array" ref="D63" xml:space="preserve"> IF( SUMPRODUCT( --( VALUE( controlTables!E$46 ) = data_scaledImpacts[impactYear] ), --( co_impactYears[[#This Row],[sector_id]] = data_scaledImpacts[sector] ) ) &gt; 0, "", controlTables!D$46  )</f>
        <v/>
      </c>
      <c r="E63" s="31" cm="1">
        <f t="array" ref="E63" xml:space="preserve"> IF( SUMPRODUCT( --( VALUE( controlTables!E$46 ) = data_scaledImpacts[impactYear] ), --( co_impactYears[[#This Row],[sector_id]] = data_scaledImpacts[sector] ) ) &gt; 0, VALUE( controlTables!E$46 ), "" )</f>
        <v>2010</v>
      </c>
      <c r="F63" s="62" cm="1">
        <f t="array" ref="F63" xml:space="preserve"> IF( SUMPRODUCT( --( VALUE( controlTables!F$46 ) = data_scaledImpacts[impactYear] ), --( co_impactYears[[#This Row],[sector_id]] = data_scaledImpacts[sector] ) ) &gt; 0, VALUE( controlTables!F$46 ), "" )</f>
        <v>2090</v>
      </c>
    </row>
    <row r="64" spans="2:6" x14ac:dyDescent="0.3">
      <c r="B64" s="7">
        <f xml:space="preserve"> ROW( co_impactYears[[#This Row],[row_id]] ) - ROW(co_impactYears[[#Headers],[row_id]] )</f>
        <v>18</v>
      </c>
      <c r="C64" s="14" t="s">
        <v>225</v>
      </c>
      <c r="D64" s="62" t="str" cm="1">
        <f t="array" ref="D64" xml:space="preserve"> IF( SUMPRODUCT( --( VALUE( controlTables!E$46 ) = data_scaledImpacts[impactYear] ), --( co_impactYears[[#This Row],[sector_id]] = data_scaledImpacts[sector] ) ) &gt; 0, "", controlTables!D$46  )</f>
        <v>N/A</v>
      </c>
      <c r="E64" s="31" t="str" cm="1">
        <f t="array" ref="E64" xml:space="preserve"> IF( SUMPRODUCT( --( VALUE( controlTables!E$46 ) = data_scaledImpacts[impactYear] ), --( co_impactYears[[#This Row],[sector_id]] = data_scaledImpacts[sector] ) ) &gt; 0, VALUE( controlTables!E$46 ), "" )</f>
        <v/>
      </c>
      <c r="F64" s="62" t="str" cm="1">
        <f t="array" ref="F64" xml:space="preserve"> IF( SUMPRODUCT( --( VALUE( controlTables!F$46 ) = data_scaledImpacts[impactYear] ), --( co_impactYears[[#This Row],[sector_id]] = data_scaledImpacts[sector] ) ) &gt; 0, VALUE( controlTables!F$46 ), "" )</f>
        <v/>
      </c>
    </row>
    <row r="65" spans="1:21" x14ac:dyDescent="0.3">
      <c r="B65" s="7">
        <f xml:space="preserve"> ROW( co_impactYears[[#This Row],[row_id]] ) - ROW(co_impactYears[[#Headers],[row_id]] )</f>
        <v>19</v>
      </c>
      <c r="C65" s="14" t="s">
        <v>1303</v>
      </c>
      <c r="D65" s="62" t="str" cm="1">
        <f t="array" ref="D65" xml:space="preserve"> IF( SUMPRODUCT( --( VALUE( controlTables!E$46 ) = data_scaledImpacts[impactYear] ), --( co_impactYears[[#This Row],[sector_id]] = data_scaledImpacts[sector] ) ) &gt; 0, "", controlTables!D$46  )</f>
        <v>N/A</v>
      </c>
      <c r="E65" s="31" t="str" cm="1">
        <f t="array" ref="E65" xml:space="preserve"> IF( SUMPRODUCT( --( VALUE( controlTables!E$46 ) = data_scaledImpacts[impactYear] ), --( co_impactYears[[#This Row],[sector_id]] = data_scaledImpacts[sector] ) ) &gt; 0, VALUE( controlTables!E$46 ), "" )</f>
        <v/>
      </c>
      <c r="F65" s="62" t="str" cm="1">
        <f t="array" ref="F65" xml:space="preserve"> IF( SUMPRODUCT( --( VALUE( controlTables!F$46 ) = data_scaledImpacts[impactYear] ), --( co_impactYears[[#This Row],[sector_id]] = data_scaledImpacts[sector] ) ) &gt; 0, VALUE( controlTables!F$46 ), "" )</f>
        <v/>
      </c>
    </row>
    <row r="66" spans="1:21" x14ac:dyDescent="0.3">
      <c r="B66" s="7">
        <f xml:space="preserve"> ROW( co_impactYears[[#This Row],[row_id]] ) - ROW(co_impactYears[[#Headers],[row_id]] )</f>
        <v>20</v>
      </c>
      <c r="C66" s="14" t="s">
        <v>983</v>
      </c>
      <c r="D66" s="62" t="str" cm="1">
        <f t="array" ref="D66" xml:space="preserve"> IF( SUMPRODUCT( --( VALUE( controlTables!E$46 ) = data_scaledImpacts[impactYear] ), --( co_impactYears[[#This Row],[sector_id]] = data_scaledImpacts[sector] ) ) &gt; 0, "", controlTables!D$46  )</f>
        <v>N/A</v>
      </c>
      <c r="E66" s="31" t="str" cm="1">
        <f t="array" ref="E66" xml:space="preserve"> IF( SUMPRODUCT( --( VALUE( controlTables!E$46 ) = data_scaledImpacts[impactYear] ), --( co_impactYears[[#This Row],[sector_id]] = data_scaledImpacts[sector] ) ) &gt; 0, VALUE( controlTables!E$46 ), "" )</f>
        <v/>
      </c>
      <c r="F66" s="62" t="str" cm="1">
        <f t="array" ref="F66" xml:space="preserve"> IF( SUMPRODUCT( --( VALUE( controlTables!F$46 ) = data_scaledImpacts[impactYear] ), --( co_impactYears[[#This Row],[sector_id]] = data_scaledImpacts[sector] ) ) &gt; 0, VALUE( controlTables!F$46 ), "" )</f>
        <v/>
      </c>
    </row>
    <row r="67" spans="1:21" x14ac:dyDescent="0.3">
      <c r="B67" s="7">
        <f xml:space="preserve"> ROW( co_impactYears[[#This Row],[row_id]] ) - ROW(co_impactYears[[#Headers],[row_id]] )</f>
        <v>21</v>
      </c>
      <c r="C67" s="14" t="s">
        <v>227</v>
      </c>
      <c r="D67" s="62" t="str" cm="1">
        <f t="array" ref="D67" xml:space="preserve"> IF( SUMPRODUCT( --( VALUE( controlTables!E$46 ) = data_scaledImpacts[impactYear] ), --( co_impactYears[[#This Row],[sector_id]] = data_scaledImpacts[sector] ) ) &gt; 0, "", controlTables!D$46  )</f>
        <v>N/A</v>
      </c>
      <c r="E67" s="31" t="str" cm="1">
        <f t="array" ref="E67" xml:space="preserve"> IF( SUMPRODUCT( --( VALUE( controlTables!E$46 ) = data_scaledImpacts[impactYear] ), --( co_impactYears[[#This Row],[sector_id]] = data_scaledImpacts[sector] ) ) &gt; 0, VALUE( controlTables!E$46 ), "" )</f>
        <v/>
      </c>
      <c r="F67" s="62" t="str" cm="1">
        <f t="array" ref="F67" xml:space="preserve"> IF( SUMPRODUCT( --( VALUE( controlTables!F$46 ) = data_scaledImpacts[impactYear] ), --( co_impactYears[[#This Row],[sector_id]] = data_scaledImpacts[sector] ) ) &gt; 0, VALUE( controlTables!F$46 ), "" )</f>
        <v/>
      </c>
    </row>
    <row r="68" spans="1:21" x14ac:dyDescent="0.3">
      <c r="B68" s="7">
        <f xml:space="preserve"> ROW( co_impactYears[[#This Row],[row_id]] ) - ROW(co_impactYears[[#Headers],[row_id]] )</f>
        <v>22</v>
      </c>
      <c r="C68" s="14" t="s">
        <v>761</v>
      </c>
      <c r="D68" s="62" t="str" cm="1">
        <f t="array" ref="D68" xml:space="preserve"> IF( SUMPRODUCT( --( VALUE( controlTables!E$46 ) = data_scaledImpacts[impactYear] ), --( co_impactYears[[#This Row],[sector_id]] = data_scaledImpacts[sector] ) ) &gt; 0, "", controlTables!D$46  )</f>
        <v>N/A</v>
      </c>
      <c r="E68" s="31" t="str" cm="1">
        <f t="array" ref="E68" xml:space="preserve"> IF( SUMPRODUCT( --( VALUE( controlTables!E$46 ) = data_scaledImpacts[impactYear] ), --( co_impactYears[[#This Row],[sector_id]] = data_scaledImpacts[sector] ) ) &gt; 0, VALUE( controlTables!E$46 ), "" )</f>
        <v/>
      </c>
      <c r="F68" s="62" t="str" cm="1">
        <f t="array" ref="F68" xml:space="preserve"> IF( SUMPRODUCT( --( VALUE( controlTables!F$46 ) = data_scaledImpacts[impactYear] ), --( co_impactYears[[#This Row],[sector_id]] = data_scaledImpacts[sector] ) ) &gt; 0, VALUE( controlTables!F$46 ), "" )</f>
        <v/>
      </c>
    </row>
    <row r="69" spans="1:21" x14ac:dyDescent="0.3">
      <c r="B69" s="7">
        <f xml:space="preserve"> ROW( co_impactYears[[#This Row],[row_id]] ) - ROW(co_impactYears[[#Headers],[row_id]] )</f>
        <v>23</v>
      </c>
      <c r="C69" s="14" t="s">
        <v>1088</v>
      </c>
      <c r="D69" s="62" t="str" cm="1">
        <f t="array" ref="D69" xml:space="preserve"> IF( SUMPRODUCT( --( VALUE( controlTables!E$46 ) = data_scaledImpacts[impactYear] ), --( co_impactYears[[#This Row],[sector_id]] = data_scaledImpacts[sector] ) ) &gt; 0, "", controlTables!D$46  )</f>
        <v>N/A</v>
      </c>
      <c r="E69" s="31" t="str" cm="1">
        <f t="array" ref="E69" xml:space="preserve"> IF( SUMPRODUCT( --( VALUE( controlTables!E$46 ) = data_scaledImpacts[impactYear] ), --( co_impactYears[[#This Row],[sector_id]] = data_scaledImpacts[sector] ) ) &gt; 0, VALUE( controlTables!E$46 ), "" )</f>
        <v/>
      </c>
      <c r="F69" s="62" t="str" cm="1">
        <f t="array" ref="F69" xml:space="preserve"> IF( SUMPRODUCT( --( VALUE( controlTables!F$46 ) = data_scaledImpacts[impactYear] ), --( co_impactYears[[#This Row],[sector_id]] = data_scaledImpacts[sector] ) ) &gt; 0, VALUE( controlTables!F$46 ), "" )</f>
        <v/>
      </c>
    </row>
    <row r="70" spans="1:21" x14ac:dyDescent="0.3">
      <c r="B70" s="7">
        <f xml:space="preserve"> ROW( co_impactYears[[#This Row],[row_id]] ) - ROW(co_impactYears[[#Headers],[row_id]] )</f>
        <v>24</v>
      </c>
      <c r="C70" s="14" t="s">
        <v>89</v>
      </c>
      <c r="D70" s="62" t="str" cm="1">
        <f t="array" ref="D70" xml:space="preserve"> IF( SUMPRODUCT( --( VALUE( controlTables!E$46 ) = data_scaledImpacts[impactYear] ), --( co_impactYears[[#This Row],[sector_id]] = data_scaledImpacts[sector] ) ) &gt; 0, "", controlTables!D$46  )</f>
        <v/>
      </c>
      <c r="E70" s="31" cm="1">
        <f t="array" ref="E70" xml:space="preserve"> IF( SUMPRODUCT( --( VALUE( controlTables!E$46 ) = data_scaledImpacts[impactYear] ), --( co_impactYears[[#This Row],[sector_id]] = data_scaledImpacts[sector] ) ) &gt; 0, VALUE( controlTables!E$46 ), "" )</f>
        <v>2010</v>
      </c>
      <c r="F70" s="62" cm="1">
        <f t="array" ref="F70" xml:space="preserve"> IF( SUMPRODUCT( --( VALUE( controlTables!F$46 ) = data_scaledImpacts[impactYear] ), --( co_impactYears[[#This Row],[sector_id]] = data_scaledImpacts[sector] ) ) &gt; 0, VALUE( controlTables!F$46 ), "" )</f>
        <v>2090</v>
      </c>
    </row>
    <row r="72" spans="1:21" ht="14.5" x14ac:dyDescent="0.35">
      <c r="A72" s="47"/>
      <c r="B72" s="48" t="s">
        <v>1238</v>
      </c>
      <c r="C72" s="48"/>
      <c r="D72" s="48"/>
      <c r="E72" s="48"/>
      <c r="F72" s="48"/>
      <c r="G72" s="48"/>
      <c r="H72" s="48"/>
      <c r="I72" s="48"/>
      <c r="J72" s="48"/>
      <c r="K72" s="48"/>
      <c r="L72" s="48"/>
      <c r="M72" s="48"/>
      <c r="N72" s="48"/>
      <c r="O72" s="48"/>
      <c r="P72" s="48"/>
      <c r="Q72" s="48"/>
      <c r="R72" s="48"/>
      <c r="S72" s="48"/>
      <c r="T72" s="48"/>
      <c r="U72" s="48"/>
    </row>
    <row r="73" spans="1:21" x14ac:dyDescent="0.3">
      <c r="B73" s="5" t="s">
        <v>1306</v>
      </c>
      <c r="C73" s="5"/>
      <c r="D73" s="5"/>
      <c r="E73" s="22"/>
      <c r="F73" s="5"/>
      <c r="G73" s="5"/>
      <c r="H73" s="5"/>
      <c r="I73" s="5"/>
      <c r="J73" s="5"/>
      <c r="K73" s="5"/>
    </row>
    <row r="74" spans="1:21" x14ac:dyDescent="0.3">
      <c r="B74" s="5" t="s">
        <v>1239</v>
      </c>
      <c r="C74" s="5"/>
      <c r="D74" s="5"/>
      <c r="E74" s="22"/>
      <c r="F74" s="5"/>
      <c r="G74" s="5"/>
      <c r="H74" s="5"/>
      <c r="I74" s="5"/>
      <c r="J74" s="5"/>
      <c r="K74" s="5"/>
    </row>
    <row r="75" spans="1:21" x14ac:dyDescent="0.3">
      <c r="B75" s="5" t="s">
        <v>1240</v>
      </c>
      <c r="C75" s="5"/>
      <c r="D75" s="5"/>
      <c r="E75" s="22"/>
      <c r="F75" s="5"/>
      <c r="G75" s="5"/>
      <c r="H75" s="5"/>
      <c r="I75" s="5"/>
      <c r="J75" s="5"/>
      <c r="K75" s="5"/>
    </row>
    <row r="76" spans="1:21" ht="14.5" x14ac:dyDescent="0.35">
      <c r="B76" s="78" t="s">
        <v>780</v>
      </c>
      <c r="C76" s="78" t="s">
        <v>219</v>
      </c>
      <c r="D76" s="78" t="s">
        <v>1241</v>
      </c>
      <c r="E76" s="78" t="s">
        <v>1242</v>
      </c>
      <c r="F76" s="81" t="s">
        <v>1243</v>
      </c>
      <c r="G76" s="62" t="s">
        <v>1017</v>
      </c>
      <c r="H76" s="62" t="s">
        <v>1018</v>
      </c>
      <c r="I76" s="60" t="s">
        <v>796</v>
      </c>
      <c r="J76" s="62" t="s">
        <v>919</v>
      </c>
      <c r="K76" s="60" t="s">
        <v>1261</v>
      </c>
      <c r="L76" s="8"/>
      <c r="M76" s="8"/>
      <c r="N76" s="8"/>
      <c r="O76" s="8"/>
      <c r="P76" s="8"/>
      <c r="Q76" s="8"/>
    </row>
    <row r="77" spans="1:21" ht="14.5" x14ac:dyDescent="0.35">
      <c r="B77" s="7">
        <f xml:space="preserve"> ROW( co_variants[[#This Row],[row_id]] ) - ROW( co_variants[[#Headers],[row_id]] )</f>
        <v>1</v>
      </c>
      <c r="C77" s="14" t="s">
        <v>559</v>
      </c>
      <c r="D77" s="57" t="s">
        <v>773</v>
      </c>
      <c r="E77" s="83">
        <v>2011</v>
      </c>
      <c r="F77" s="83">
        <v>2011</v>
      </c>
      <c r="G77" s="58">
        <v>1</v>
      </c>
      <c r="H77" s="58">
        <v>1</v>
      </c>
      <c r="I77" s="82" t="str">
        <f xml:space="preserve"> INDEX( co_impactTypes[damageAdjName], MATCH( co_variants[[#This Row],[sector_id]], co_impactTypes[sector_id], 0 ) ) &amp;
   IF( co_variants[[#This Row],[sector_id]] = "Roads", IF( co_variants[[#This Row],[variant_id_excel]] = "Proactive", "_proactive", "_other" ), "" )</f>
        <v>none</v>
      </c>
      <c r="J77" s="65" cm="1">
        <f t="array" ref="J77" xml:space="preserve"> --( SUMPRODUCT( --( co_variants[[#This Row],[sector_id]] = data_scaledImpacts[sector] ), --( co_variants[[#This Row],[variant_id_excel]] = data_scaledImpacts[variant] ) ) &gt; 1 )</f>
        <v>1</v>
      </c>
      <c r="K77" s="65" cm="1">
        <f t="array" ref="K77" xml:space="preserve"> --( SUMPRODUCT( --( co_impactTypes[sector_id] = co_variants[[#This Row],[sector_id]] ) ) &gt; 1 )</f>
        <v>1</v>
      </c>
      <c r="L77"/>
      <c r="M77"/>
      <c r="N77"/>
      <c r="O77"/>
    </row>
    <row r="78" spans="1:21" ht="14.5" x14ac:dyDescent="0.35">
      <c r="B78" s="7">
        <f xml:space="preserve"> ROW( co_variants[[#This Row],[row_id]] ) - ROW( co_variants[[#Headers],[row_id]] )</f>
        <v>2</v>
      </c>
      <c r="C78" s="14" t="s">
        <v>559</v>
      </c>
      <c r="D78" s="57" t="s">
        <v>945</v>
      </c>
      <c r="E78" s="83">
        <v>2040</v>
      </c>
      <c r="F78" s="83">
        <v>2040</v>
      </c>
      <c r="G78" s="58">
        <v>0</v>
      </c>
      <c r="H78" s="58">
        <v>0</v>
      </c>
      <c r="I78" s="82" t="str">
        <f xml:space="preserve"> INDEX( co_impactTypes[damageAdjName], MATCH( co_variants[[#This Row],[sector_id]], co_impactTypes[sector_id], 0 ) ) &amp;
   IF( co_variants[[#This Row],[sector_id]] = "Roads", IF( co_variants[[#This Row],[variant_id_excel]] = "Proactive", "_proactive", "_other" ), "" )</f>
        <v>none</v>
      </c>
      <c r="J78" s="65" cm="1">
        <f t="array" ref="J78" xml:space="preserve"> --( SUMPRODUCT( --( co_variants[[#This Row],[sector_id]] = data_scaledImpacts[sector] ), --( co_variants[[#This Row],[variant_id_excel]] = data_scaledImpacts[variant] ) ) &gt; 1 )</f>
        <v>1</v>
      </c>
      <c r="K78" s="65" cm="1">
        <f t="array" ref="K78" xml:space="preserve"> --( SUMPRODUCT( --( co_impactTypes[sector_id] = co_variants[[#This Row],[sector_id]] ) ) &gt; 1 )</f>
        <v>1</v>
      </c>
      <c r="L78"/>
      <c r="M78"/>
      <c r="N78"/>
      <c r="O78"/>
    </row>
    <row r="79" spans="1:21" ht="14.5" x14ac:dyDescent="0.35">
      <c r="B79" s="7">
        <f xml:space="preserve"> ROW( co_variants[[#This Row],[row_id]] ) - ROW( co_variants[[#Headers],[row_id]] )</f>
        <v>3</v>
      </c>
      <c r="C79" s="14" t="s">
        <v>1005</v>
      </c>
      <c r="D79" s="57" t="s">
        <v>201</v>
      </c>
      <c r="E79" s="83" t="s">
        <v>927</v>
      </c>
      <c r="F79" s="83" t="s">
        <v>201</v>
      </c>
      <c r="G79" s="58">
        <v>1</v>
      </c>
      <c r="H79" s="58">
        <v>0</v>
      </c>
      <c r="I79" s="82" t="str">
        <f xml:space="preserve"> INDEX( co_impactTypes[damageAdjName], MATCH( co_variants[[#This Row],[sector_id]], co_impactTypes[sector_id], 0 ) ) &amp;
   IF( co_variants[[#This Row],[sector_id]] = "Roads", IF( co_variants[[#This Row],[variant_id_excel]] = "Proactive", "_proactive", "_other" ), "" )</f>
        <v>none</v>
      </c>
      <c r="J79" s="65" cm="1">
        <f t="array" ref="J79" xml:space="preserve"> --( SUMPRODUCT( --( co_variants[[#This Row],[sector_id]] = data_scaledImpacts[sector] ), --( co_variants[[#This Row],[variant_id_excel]] = data_scaledImpacts[variant] ) ) &gt; 1 )</f>
        <v>1</v>
      </c>
      <c r="K79" s="65" cm="1">
        <f t="array" ref="K79" xml:space="preserve"> --( SUMPRODUCT( --( co_impactTypes[sector_id] = co_variants[[#This Row],[sector_id]] ) ) &gt; 1 )</f>
        <v>0</v>
      </c>
      <c r="L79"/>
      <c r="M79"/>
      <c r="N79"/>
      <c r="O79"/>
    </row>
    <row r="80" spans="1:21" ht="14.5" x14ac:dyDescent="0.35">
      <c r="B80" s="7">
        <f xml:space="preserve"> ROW( co_variants[[#This Row],[row_id]] ) - ROW( co_variants[[#Headers],[row_id]] )</f>
        <v>4</v>
      </c>
      <c r="C80" s="14" t="s">
        <v>1247</v>
      </c>
      <c r="D80" s="57" t="s">
        <v>1258</v>
      </c>
      <c r="E80" s="83" t="s">
        <v>1248</v>
      </c>
      <c r="F80" s="112" t="s">
        <v>1248</v>
      </c>
      <c r="G80" s="97">
        <v>1</v>
      </c>
      <c r="H80" s="97">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0</v>
      </c>
      <c r="L80"/>
      <c r="M80"/>
      <c r="N80"/>
      <c r="O80"/>
    </row>
    <row r="81" spans="2:15" ht="14.5" x14ac:dyDescent="0.35">
      <c r="B81" s="7">
        <f xml:space="preserve"> ROW( co_variants[[#This Row],[row_id]] ) - ROW( co_variants[[#Headers],[row_id]] )</f>
        <v>5</v>
      </c>
      <c r="C81" s="14" t="s">
        <v>1247</v>
      </c>
      <c r="D81" s="57" t="s">
        <v>1259</v>
      </c>
      <c r="E81" s="83" t="s">
        <v>1266</v>
      </c>
      <c r="F81" s="112" t="s">
        <v>1256</v>
      </c>
      <c r="G81" s="97">
        <v>0</v>
      </c>
      <c r="H81" s="97">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0</v>
      </c>
      <c r="L81"/>
      <c r="M81"/>
      <c r="N81"/>
      <c r="O81"/>
    </row>
    <row r="82" spans="2:15" ht="14.5" x14ac:dyDescent="0.35">
      <c r="B82" s="7">
        <f xml:space="preserve"> ROW( co_variants[[#This Row],[row_id]] ) - ROW( co_variants[[#Headers],[row_id]] )</f>
        <v>6</v>
      </c>
      <c r="C82" s="14" t="s">
        <v>1247</v>
      </c>
      <c r="D82" s="57" t="s">
        <v>1260</v>
      </c>
      <c r="E82" s="83" t="s">
        <v>1267</v>
      </c>
      <c r="F82" s="112" t="s">
        <v>1257</v>
      </c>
      <c r="G82" s="97">
        <v>0</v>
      </c>
      <c r="H82" s="97">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7</v>
      </c>
      <c r="C83" s="14" t="s">
        <v>1229</v>
      </c>
      <c r="D83" s="83" t="s">
        <v>1165</v>
      </c>
      <c r="E83" s="83" t="s">
        <v>1220</v>
      </c>
      <c r="F83" s="83" t="s">
        <v>1165</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1</v>
      </c>
      <c r="L83"/>
      <c r="M83"/>
      <c r="N83"/>
      <c r="O83"/>
    </row>
    <row r="84" spans="2:15" ht="14.5" x14ac:dyDescent="0.35">
      <c r="B84" s="7">
        <f xml:space="preserve"> ROW( co_variants[[#This Row],[row_id]] ) - ROW( co_variants[[#Headers],[row_id]] )</f>
        <v>8</v>
      </c>
      <c r="C84" s="14" t="s">
        <v>1229</v>
      </c>
      <c r="D84" s="83" t="s">
        <v>1164</v>
      </c>
      <c r="E84" s="83" t="s">
        <v>1221</v>
      </c>
      <c r="F84" s="83" t="s">
        <v>1164</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1</v>
      </c>
      <c r="L84"/>
      <c r="M84"/>
      <c r="N84"/>
      <c r="O84"/>
    </row>
    <row r="85" spans="2:15" ht="14.5" x14ac:dyDescent="0.35">
      <c r="B85" s="7">
        <f xml:space="preserve"> ROW( co_variants[[#This Row],[row_id]] ) - ROW( co_variants[[#Headers],[row_id]] )</f>
        <v>9</v>
      </c>
      <c r="C85" s="14" t="s">
        <v>1230</v>
      </c>
      <c r="D85" s="57" t="s">
        <v>201</v>
      </c>
      <c r="E85" s="83" t="s">
        <v>927</v>
      </c>
      <c r="F85" s="112" t="s">
        <v>201</v>
      </c>
      <c r="G85" s="97">
        <v>1</v>
      </c>
      <c r="H85" s="97">
        <v>1</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1</v>
      </c>
      <c r="L85"/>
      <c r="M85"/>
      <c r="N85"/>
      <c r="O85"/>
    </row>
    <row r="86" spans="2:15" ht="14.5" x14ac:dyDescent="0.35">
      <c r="B86" s="7">
        <f xml:space="preserve"> ROW( co_variants[[#This Row],[row_id]] ) - ROW( co_variants[[#Headers],[row_id]] )</f>
        <v>10</v>
      </c>
      <c r="C86" s="14" t="s">
        <v>1159</v>
      </c>
      <c r="D86" s="57" t="s">
        <v>1264</v>
      </c>
      <c r="E86" s="83" t="s">
        <v>1263</v>
      </c>
      <c r="F86" s="83" t="s">
        <v>1263</v>
      </c>
      <c r="G86" s="97">
        <v>1</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0</v>
      </c>
      <c r="L86"/>
      <c r="M86"/>
      <c r="N86"/>
      <c r="O86"/>
    </row>
    <row r="87" spans="2:15" ht="14.5" x14ac:dyDescent="0.35">
      <c r="B87" s="7">
        <f xml:space="preserve"> ROW( co_variants[[#This Row],[row_id]] ) - ROW( co_variants[[#Headers],[row_id]] )</f>
        <v>11</v>
      </c>
      <c r="C87" s="14" t="s">
        <v>1159</v>
      </c>
      <c r="D87" s="57" t="s">
        <v>1259</v>
      </c>
      <c r="E87" s="83" t="s">
        <v>1266</v>
      </c>
      <c r="F87" s="83" t="s">
        <v>1256</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0</v>
      </c>
      <c r="L87"/>
      <c r="M87"/>
      <c r="N87"/>
      <c r="O87"/>
    </row>
    <row r="88" spans="2:15" ht="14.5" x14ac:dyDescent="0.35">
      <c r="B88" s="7">
        <f xml:space="preserve"> ROW( co_variants[[#This Row],[row_id]] ) - ROW( co_variants[[#Headers],[row_id]] )</f>
        <v>12</v>
      </c>
      <c r="C88" s="14" t="s">
        <v>1159</v>
      </c>
      <c r="D88" s="57" t="s">
        <v>1260</v>
      </c>
      <c r="E88" s="83" t="s">
        <v>1267</v>
      </c>
      <c r="F88" s="83" t="s">
        <v>1257</v>
      </c>
      <c r="G88" s="97">
        <v>0</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0</v>
      </c>
      <c r="L88"/>
      <c r="M88"/>
      <c r="N88"/>
      <c r="O88"/>
    </row>
    <row r="89" spans="2:15" ht="14.5" x14ac:dyDescent="0.35">
      <c r="B89" s="7">
        <f xml:space="preserve"> ROW( co_variants[[#This Row],[row_id]] ) - ROW( co_variants[[#Headers],[row_id]] )</f>
        <v>13</v>
      </c>
      <c r="C89" s="14" t="s">
        <v>86</v>
      </c>
      <c r="D89" s="57" t="s">
        <v>776</v>
      </c>
      <c r="E89" s="83" t="s">
        <v>87</v>
      </c>
      <c r="F89" s="112" t="s">
        <v>87</v>
      </c>
      <c r="G89" s="58">
        <v>0</v>
      </c>
      <c r="H89" s="58">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0</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14</v>
      </c>
      <c r="C90" s="14" t="s">
        <v>86</v>
      </c>
      <c r="D90" s="57" t="s">
        <v>777</v>
      </c>
      <c r="E90" s="112" t="s">
        <v>208</v>
      </c>
      <c r="F90" s="112" t="s">
        <v>208</v>
      </c>
      <c r="G90" s="58">
        <v>0</v>
      </c>
      <c r="H90" s="58">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0</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15</v>
      </c>
      <c r="C91" s="14" t="s">
        <v>86</v>
      </c>
      <c r="D91" s="57" t="s">
        <v>778</v>
      </c>
      <c r="E91" s="112" t="s">
        <v>88</v>
      </c>
      <c r="F91" s="112" t="s">
        <v>88</v>
      </c>
      <c r="G91" s="58">
        <v>1</v>
      </c>
      <c r="H91" s="58">
        <v>1</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0</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16</v>
      </c>
      <c r="C92" s="14" t="s">
        <v>220</v>
      </c>
      <c r="D92" s="57" t="s">
        <v>201</v>
      </c>
      <c r="E92" s="83" t="s">
        <v>927</v>
      </c>
      <c r="F92" s="112" t="s">
        <v>201</v>
      </c>
      <c r="G92" s="58">
        <v>1</v>
      </c>
      <c r="H92" s="58">
        <v>1</v>
      </c>
      <c r="I92" s="82" t="str">
        <f xml:space="preserve"> INDEX( co_impactTypes[damageAdjName], MATCH( co_variants[[#This Row],[sector_id]], co_impactTypes[sector_id], 0 ) ) &amp;
   IF( co_variants[[#This Row],[sector_id]] = "Roads", IF( co_variants[[#This Row],[variant_id_excel]] = "Proactive", "_proactive", "_other" ), "" )</f>
        <v>elecSD_refCosts</v>
      </c>
      <c r="J92" s="65" cm="1">
        <f t="array" ref="J92" xml:space="preserve"> --( SUMPRODUCT( --( co_variants[[#This Row],[sector_id]] = data_scaledImpacts[sector] ), --( co_variants[[#This Row],[variant_id_excel]] = data_scaledImpacts[variant] ) ) &gt; 1 )</f>
        <v>1</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17</v>
      </c>
      <c r="C93" s="14" t="s">
        <v>1002</v>
      </c>
      <c r="D93" s="57" t="s">
        <v>776</v>
      </c>
      <c r="E93" s="83" t="s">
        <v>87</v>
      </c>
      <c r="F93" s="112" t="s">
        <v>87</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elecTD_growthFactor</v>
      </c>
      <c r="J93" s="65" cm="1">
        <f t="array" ref="J93" xml:space="preserve"> --( SUMPRODUCT( --( co_variants[[#This Row],[sector_id]] = data_scaledImpacts[sector] ), --( co_variants[[#This Row],[variant_id_excel]] = data_scaledImpacts[variant] ) ) &gt; 1 )</f>
        <v>1</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18</v>
      </c>
      <c r="C94" s="14" t="s">
        <v>1002</v>
      </c>
      <c r="D94" s="57" t="s">
        <v>777</v>
      </c>
      <c r="E94" s="112" t="s">
        <v>208</v>
      </c>
      <c r="F94" s="112" t="s">
        <v>208</v>
      </c>
      <c r="G94" s="58">
        <v>0</v>
      </c>
      <c r="H94" s="58">
        <v>0</v>
      </c>
      <c r="I94" s="82" t="str">
        <f xml:space="preserve"> INDEX( co_impactTypes[damageAdjName], MATCH( co_variants[[#This Row],[sector_id]], co_impactTypes[sector_id], 0 ) ) &amp;
   IF( co_variants[[#This Row],[sector_id]] = "Roads", IF( co_variants[[#This Row],[variant_id_excel]] = "Proactive", "_proactive", "_other" ), "" )</f>
        <v>elecTD_growthFactor</v>
      </c>
      <c r="J94" s="65" cm="1">
        <f t="array" ref="J94" xml:space="preserve"> --( SUMPRODUCT( --( co_variants[[#This Row],[sector_id]] = data_scaledImpacts[sector] ), --( co_variants[[#This Row],[variant_id_excel]] = data_scaledImpacts[variant] ) ) &gt; 1 )</f>
        <v>1</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19</v>
      </c>
      <c r="C95" s="14" t="s">
        <v>1002</v>
      </c>
      <c r="D95" s="57" t="s">
        <v>778</v>
      </c>
      <c r="E95" s="112" t="s">
        <v>88</v>
      </c>
      <c r="F95" s="112" t="s">
        <v>88</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elecTD_growthFactor</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20</v>
      </c>
      <c r="C96" s="14" t="s">
        <v>17</v>
      </c>
      <c r="D96" s="57" t="s">
        <v>774</v>
      </c>
      <c r="E96" s="83" t="s">
        <v>928</v>
      </c>
      <c r="F96" s="112" t="s">
        <v>774</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none</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1</v>
      </c>
      <c r="L96"/>
      <c r="M96"/>
      <c r="N96"/>
      <c r="O96"/>
    </row>
    <row r="97" spans="2:15" ht="14.5" x14ac:dyDescent="0.35">
      <c r="B97" s="7">
        <f xml:space="preserve"> ROW( co_variants[[#This Row],[row_id]] ) - ROW( co_variants[[#Headers],[row_id]] )</f>
        <v>21</v>
      </c>
      <c r="C97" s="14" t="s">
        <v>17</v>
      </c>
      <c r="D97" s="57" t="s">
        <v>776</v>
      </c>
      <c r="E97" s="83" t="s">
        <v>87</v>
      </c>
      <c r="F97" s="112" t="s">
        <v>776</v>
      </c>
      <c r="G97" s="58">
        <v>1</v>
      </c>
      <c r="H97" s="58">
        <v>0</v>
      </c>
      <c r="I97" s="82" t="str">
        <f xml:space="preserve"> INDEX( co_impactTypes[damageAdjName], MATCH( co_variants[[#This Row],[sector_id]], co_impactTypes[sector_id], 0 ) ) &amp;
   IF( co_variants[[#This Row],[sector_id]] = "Roads", IF( co_variants[[#This Row],[variant_id_excel]] = "Proactive", "_proactive", "_other" ), "" )</f>
        <v>none</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1</v>
      </c>
      <c r="L97"/>
      <c r="M97"/>
      <c r="N97"/>
      <c r="O97"/>
    </row>
    <row r="98" spans="2:15" ht="14.5" x14ac:dyDescent="0.35">
      <c r="B98" s="7">
        <f xml:space="preserve"> ROW( co_variants[[#This Row],[row_id]] ) - ROW( co_variants[[#Headers],[row_id]] )</f>
        <v>22</v>
      </c>
      <c r="C98" s="14" t="s">
        <v>221</v>
      </c>
      <c r="D98" s="57" t="s">
        <v>775</v>
      </c>
      <c r="E98" s="83" t="s">
        <v>231</v>
      </c>
      <c r="F98" s="112" t="s">
        <v>208</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none</v>
      </c>
      <c r="J98" s="65" cm="1">
        <f t="array" ref="J98" xml:space="preserve"> --( SUMPRODUCT( --( co_variants[[#This Row],[sector_id]] = data_scaledImpacts[sector] ), --( co_variants[[#This Row],[variant_id_excel]] = data_scaledImpacts[variant] ) ) &gt; 1 )</f>
        <v>0</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23</v>
      </c>
      <c r="C99" s="14" t="s">
        <v>221</v>
      </c>
      <c r="D99" s="57" t="s">
        <v>776</v>
      </c>
      <c r="E99" s="83" t="s">
        <v>87</v>
      </c>
      <c r="F99" s="112" t="s">
        <v>87</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0</v>
      </c>
      <c r="K99" s="65" cm="1">
        <f t="array" ref="K99" xml:space="preserve"> --( SUMPRODUCT( --( co_impactTypes[sector_id] = co_variants[[#This Row],[sector_id]] ) ) &gt; 1 )</f>
        <v>0</v>
      </c>
      <c r="L99"/>
      <c r="M99"/>
      <c r="N99"/>
      <c r="O99"/>
    </row>
    <row r="100" spans="2:15" ht="21" x14ac:dyDescent="0.35">
      <c r="B100" s="7">
        <f xml:space="preserve"> ROW( co_variants[[#This Row],[row_id]] ) - ROW( co_variants[[#Headers],[row_id]] )</f>
        <v>24</v>
      </c>
      <c r="C100" s="14" t="s">
        <v>221</v>
      </c>
      <c r="D100" s="57" t="s">
        <v>779</v>
      </c>
      <c r="E100" s="112" t="s">
        <v>230</v>
      </c>
      <c r="F100" s="112" t="s">
        <v>88</v>
      </c>
      <c r="G100" s="58">
        <v>1</v>
      </c>
      <c r="H100" s="58">
        <v>1</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0</v>
      </c>
      <c r="K100" s="65" cm="1">
        <f t="array" ref="K100" xml:space="preserve"> --( SUMPRODUCT( --( co_impactTypes[sector_id] = co_variants[[#This Row],[sector_id]] ) ) &gt; 1 )</f>
        <v>0</v>
      </c>
      <c r="L100"/>
      <c r="M100"/>
      <c r="N100"/>
      <c r="O100"/>
    </row>
    <row r="101" spans="2:15" ht="14.5" x14ac:dyDescent="0.35">
      <c r="B101" s="7">
        <f xml:space="preserve"> ROW( co_variants[[#This Row],[row_id]] ) - ROW( co_variants[[#Headers],[row_id]] )</f>
        <v>25</v>
      </c>
      <c r="C101" s="14" t="s">
        <v>84</v>
      </c>
      <c r="D101" s="57" t="s">
        <v>201</v>
      </c>
      <c r="E101" s="83" t="s">
        <v>927</v>
      </c>
      <c r="F101" s="112" t="s">
        <v>201</v>
      </c>
      <c r="G101" s="58">
        <v>1</v>
      </c>
      <c r="H101" s="58">
        <v>1</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1</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26</v>
      </c>
      <c r="C102" s="14" t="s">
        <v>34</v>
      </c>
      <c r="D102" s="57" t="s">
        <v>201</v>
      </c>
      <c r="E102" s="83" t="s">
        <v>927</v>
      </c>
      <c r="F102" s="112" t="s">
        <v>201</v>
      </c>
      <c r="G102" s="58">
        <v>1</v>
      </c>
      <c r="H102" s="58">
        <v>1</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1</v>
      </c>
      <c r="K102" s="65" cm="1">
        <f t="array" ref="K102" xml:space="preserve"> --( SUMPRODUCT( --( co_impactTypes[sector_id] = co_variants[[#This Row],[sector_id]] ) ) &gt; 1 )</f>
        <v>0</v>
      </c>
      <c r="L102"/>
      <c r="M102"/>
      <c r="N102"/>
      <c r="O102"/>
    </row>
    <row r="103" spans="2:15" ht="14.5" x14ac:dyDescent="0.35">
      <c r="B103" s="7">
        <f xml:space="preserve"> ROW( co_variants[[#This Row],[row_id]] ) - ROW( co_variants[[#Headers],[row_id]] )</f>
        <v>27</v>
      </c>
      <c r="C103" s="14" t="s">
        <v>223</v>
      </c>
      <c r="D103" s="57" t="s">
        <v>201</v>
      </c>
      <c r="E103" s="83" t="s">
        <v>927</v>
      </c>
      <c r="F103" s="112" t="s">
        <v>201</v>
      </c>
      <c r="G103" s="97">
        <v>1</v>
      </c>
      <c r="H103" s="97">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1</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28</v>
      </c>
      <c r="C104" s="14" t="s">
        <v>209</v>
      </c>
      <c r="D104" s="57" t="s">
        <v>776</v>
      </c>
      <c r="E104" s="83" t="s">
        <v>87</v>
      </c>
      <c r="F104" s="112" t="s">
        <v>776</v>
      </c>
      <c r="G104" s="58">
        <v>0</v>
      </c>
      <c r="H104" s="58">
        <v>0</v>
      </c>
      <c r="I104" s="82" t="str">
        <f xml:space="preserve"> INDEX( co_impactTypes[damageAdjName], MATCH( co_variants[[#This Row],[sector_id]], co_impactTypes[sector_id], 0 ) ) &amp;
   IF( co_variants[[#This Row],[sector_id]] = "Roads", IF( co_variants[[#This Row],[variant_id_excel]] = "Proactive", "_proactive", "_other" ), "" )</f>
        <v>rail_growth_factor</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29</v>
      </c>
      <c r="C105" s="14" t="s">
        <v>209</v>
      </c>
      <c r="D105" s="57" t="s">
        <v>777</v>
      </c>
      <c r="E105" s="112" t="s">
        <v>208</v>
      </c>
      <c r="F105" s="112" t="s">
        <v>208</v>
      </c>
      <c r="G105" s="58">
        <v>0</v>
      </c>
      <c r="H105" s="58">
        <v>0</v>
      </c>
      <c r="I105" s="82" t="str">
        <f xml:space="preserve"> INDEX( co_impactTypes[damageAdjName], MATCH( co_variants[[#This Row],[sector_id]], co_impactTypes[sector_id], 0 ) ) &amp;
   IF( co_variants[[#This Row],[sector_id]] = "Roads", IF( co_variants[[#This Row],[variant_id_excel]] = "Proactive", "_proactive", "_other" ), "" )</f>
        <v>rail_growth_factor</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30</v>
      </c>
      <c r="C106" s="14" t="s">
        <v>209</v>
      </c>
      <c r="D106" s="57" t="s">
        <v>778</v>
      </c>
      <c r="E106" s="112" t="s">
        <v>88</v>
      </c>
      <c r="F106" s="112" t="s">
        <v>88</v>
      </c>
      <c r="G106" s="58">
        <v>1</v>
      </c>
      <c r="H106" s="58">
        <v>1</v>
      </c>
      <c r="I106" s="82" t="str">
        <f xml:space="preserve"> INDEX( co_impactTypes[damageAdjName], MATCH( co_variants[[#This Row],[sector_id]], co_impactTypes[sector_id], 0 ) ) &amp;
   IF( co_variants[[#This Row],[sector_id]] = "Roads", IF( co_variants[[#This Row],[variant_id_excel]] = "Proactive", "_proactive", "_other" ), "" )</f>
        <v>rail_growth_factor</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31</v>
      </c>
      <c r="C107" s="14" t="s">
        <v>216</v>
      </c>
      <c r="D107" s="57" t="s">
        <v>776</v>
      </c>
      <c r="E107" s="83" t="s">
        <v>87</v>
      </c>
      <c r="F107" s="112" t="s">
        <v>889</v>
      </c>
      <c r="G107" s="58">
        <v>0</v>
      </c>
      <c r="H107" s="58">
        <v>0</v>
      </c>
      <c r="I107" s="82" t="str">
        <f xml:space="preserve"> INDEX( co_impactTypes[damageAdjName], MATCH( co_variants[[#This Row],[sector_id]], co_impactTypes[sector_id], 0 ) ) &amp;
   IF( co_variants[[#This Row],[sector_id]] = "Roads", IF( co_variants[[#This Row],[variant_id_excel]] = "Proactive", "_proactive", "_other" ), "" )</f>
        <v>road_miles_and_pop_other</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32</v>
      </c>
      <c r="C108" s="14" t="s">
        <v>216</v>
      </c>
      <c r="D108" s="57" t="s">
        <v>777</v>
      </c>
      <c r="E108" s="112" t="s">
        <v>208</v>
      </c>
      <c r="F108" s="112" t="s">
        <v>208</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road_miles_and_pop_proactive</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33</v>
      </c>
      <c r="C109" s="14" t="s">
        <v>216</v>
      </c>
      <c r="D109" s="57" t="s">
        <v>778</v>
      </c>
      <c r="E109" s="112" t="s">
        <v>88</v>
      </c>
      <c r="F109" s="112" t="s">
        <v>88</v>
      </c>
      <c r="G109" s="58">
        <v>1</v>
      </c>
      <c r="H109" s="58">
        <v>1</v>
      </c>
      <c r="I109" s="82" t="str">
        <f xml:space="preserve"> INDEX( co_impactTypes[damageAdjName], MATCH( co_variants[[#This Row],[sector_id]], co_impactTypes[sector_id], 0 ) ) &amp;
   IF( co_variants[[#This Row],[sector_id]] = "Roads", IF( co_variants[[#This Row],[variant_id_excel]] = "Proactive", "_proactive", "_other" ), "" )</f>
        <v>road_miles_and_pop_other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34</v>
      </c>
      <c r="C110" s="14" t="s">
        <v>85</v>
      </c>
      <c r="D110" s="57" t="s">
        <v>201</v>
      </c>
      <c r="E110" s="83" t="s">
        <v>927</v>
      </c>
      <c r="F110" s="112" t="s">
        <v>201</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none</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1</v>
      </c>
      <c r="L110"/>
      <c r="M110"/>
      <c r="N110"/>
      <c r="O110"/>
    </row>
    <row r="111" spans="2:15" ht="14.5" x14ac:dyDescent="0.35">
      <c r="B111" s="7">
        <f xml:space="preserve"> ROW( co_variants[[#This Row],[row_id]] ) - ROW( co_variants[[#Headers],[row_id]] )</f>
        <v>35</v>
      </c>
      <c r="C111" s="14" t="s">
        <v>225</v>
      </c>
      <c r="D111" s="57" t="s">
        <v>201</v>
      </c>
      <c r="E111" s="83" t="s">
        <v>927</v>
      </c>
      <c r="F111" s="112" t="s">
        <v>201</v>
      </c>
      <c r="G111" s="58">
        <v>1</v>
      </c>
      <c r="H111" s="58">
        <v>1</v>
      </c>
      <c r="I111" s="82" t="str">
        <f xml:space="preserve"> INDEX( co_impactTypes[damageAdjName], MATCH( co_variants[[#This Row],[sector_id]], co_impactTypes[sector_id], 0 ) ) &amp;
   IF( co_variants[[#This Row],[sector_id]] = "Roads", IF( co_variants[[#This Row],[variant_id_excel]] = "Proactive", "_proactive", "_other" ), "" )</f>
        <v>none</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36</v>
      </c>
      <c r="C112" s="14" t="s">
        <v>983</v>
      </c>
      <c r="D112" s="57" t="s">
        <v>201</v>
      </c>
      <c r="E112" s="83" t="s">
        <v>927</v>
      </c>
      <c r="F112" s="112" t="s">
        <v>201</v>
      </c>
      <c r="G112" s="58">
        <v>1</v>
      </c>
      <c r="H112" s="58">
        <v>1</v>
      </c>
      <c r="I112" s="82" t="str">
        <f xml:space="preserve"> INDEX( co_impactTypes[damageAdjName], MATCH( co_variants[[#This Row],[sector_id]], co_impactTypes[sector_id], 0 ) ) &amp;
   IF( co_variants[[#This Row],[sector_id]] = "Roads", IF( co_variants[[#This Row],[variant_id_excel]] = "Proactive", "_proactive", "_other" ), "" )</f>
        <v>none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1</v>
      </c>
      <c r="L112"/>
      <c r="M112"/>
      <c r="N112"/>
      <c r="O112"/>
    </row>
    <row r="113" spans="1:21" ht="14.5" x14ac:dyDescent="0.35">
      <c r="B113" s="7">
        <f xml:space="preserve"> ROW( co_variants[[#This Row],[row_id]] ) - ROW( co_variants[[#Headers],[row_id]] )</f>
        <v>37</v>
      </c>
      <c r="C113" s="14" t="s">
        <v>1303</v>
      </c>
      <c r="D113" s="57" t="s">
        <v>201</v>
      </c>
      <c r="E113" s="83" t="s">
        <v>927</v>
      </c>
      <c r="F113" s="112" t="s">
        <v>201</v>
      </c>
      <c r="G113" s="97">
        <v>1</v>
      </c>
      <c r="H113" s="97">
        <v>1</v>
      </c>
      <c r="I113" s="82" t="str">
        <f xml:space="preserve"> INDEX( co_impactTypes[damageAdjName], MATCH( co_variants[[#This Row],[sector_id]], co_impactTypes[sector_id], 0 ) ) &amp;
   IF( co_variants[[#This Row],[sector_id]] = "Roads", IF( co_variants[[#This Row],[variant_id_excel]] = "Proactive", "_proactive", "_other" ), "" )</f>
        <v>none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1</v>
      </c>
      <c r="L113"/>
      <c r="M113"/>
      <c r="N113"/>
      <c r="O113"/>
    </row>
    <row r="114" spans="1:21" ht="14.5" x14ac:dyDescent="0.35">
      <c r="B114" s="7">
        <f xml:space="preserve"> ROW( co_variants[[#This Row],[row_id]] ) - ROW( co_variants[[#Headers],[row_id]] )</f>
        <v>38</v>
      </c>
      <c r="C114" s="14" t="s">
        <v>227</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4.5" x14ac:dyDescent="0.35">
      <c r="B115" s="7">
        <f xml:space="preserve"> ROW( co_variants[[#This Row],[row_id]] ) - ROW( co_variants[[#Headers],[row_id]] )</f>
        <v>39</v>
      </c>
      <c r="C115" s="14" t="s">
        <v>761</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4.5" x14ac:dyDescent="0.35">
      <c r="B116" s="7">
        <f xml:space="preserve"> ROW( co_variants[[#This Row],[row_id]] ) - ROW( co_variants[[#Headers],[row_id]] )</f>
        <v>40</v>
      </c>
      <c r="C116" s="14" t="s">
        <v>1088</v>
      </c>
      <c r="D116" s="57" t="s">
        <v>201</v>
      </c>
      <c r="E116" s="83" t="s">
        <v>927</v>
      </c>
      <c r="F116" s="112" t="s">
        <v>201</v>
      </c>
      <c r="G116" s="97">
        <v>1</v>
      </c>
      <c r="H116" s="97">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0</v>
      </c>
      <c r="L116"/>
      <c r="M116"/>
      <c r="N116"/>
      <c r="O116"/>
    </row>
    <row r="117" spans="1:21" ht="14.5" x14ac:dyDescent="0.35">
      <c r="B117" s="7">
        <f xml:space="preserve"> ROW( co_variants[[#This Row],[row_id]] ) - ROW( co_variants[[#Headers],[row_id]] )</f>
        <v>41</v>
      </c>
      <c r="C117" s="14" t="s">
        <v>89</v>
      </c>
      <c r="D117" s="57" t="s">
        <v>201</v>
      </c>
      <c r="E117" s="83" t="s">
        <v>927</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9" spans="1:21" ht="14.5" x14ac:dyDescent="0.35">
      <c r="A119" s="47"/>
      <c r="B119" s="48" t="s">
        <v>200</v>
      </c>
      <c r="C119" s="48"/>
      <c r="D119" s="48"/>
      <c r="E119" s="48"/>
      <c r="F119" s="48"/>
      <c r="G119" s="48"/>
      <c r="H119" s="48"/>
      <c r="I119" s="48"/>
      <c r="J119" s="48"/>
      <c r="K119" s="48"/>
      <c r="L119" s="48"/>
      <c r="M119" s="48"/>
      <c r="N119" s="48"/>
      <c r="O119" s="48"/>
      <c r="P119" s="48"/>
      <c r="Q119" s="48"/>
      <c r="R119" s="48"/>
      <c r="S119" s="48"/>
      <c r="T119" s="48"/>
      <c r="U119" s="48"/>
    </row>
    <row r="120" spans="1:21" x14ac:dyDescent="0.3">
      <c r="B120" s="5" t="s">
        <v>1222</v>
      </c>
    </row>
    <row r="121" spans="1:21" x14ac:dyDescent="0.3">
      <c r="B121" s="60" t="s">
        <v>780</v>
      </c>
      <c r="C121" s="60" t="s">
        <v>219</v>
      </c>
      <c r="D121" s="60" t="s">
        <v>931</v>
      </c>
      <c r="E121" s="61" t="s">
        <v>932</v>
      </c>
      <c r="F121" s="60" t="s">
        <v>935</v>
      </c>
      <c r="G121" s="60" t="s">
        <v>933</v>
      </c>
      <c r="H121" s="60" t="s">
        <v>1019</v>
      </c>
      <c r="I121" s="60" t="s">
        <v>792</v>
      </c>
      <c r="J121" s="60" t="s">
        <v>794</v>
      </c>
      <c r="K121" s="60" t="s">
        <v>796</v>
      </c>
      <c r="L121" s="60" t="s">
        <v>262</v>
      </c>
      <c r="M121" s="60" t="s">
        <v>917</v>
      </c>
      <c r="N121" s="62" t="s">
        <v>763</v>
      </c>
      <c r="O121" s="62" t="s">
        <v>764</v>
      </c>
      <c r="P121" s="62" t="s">
        <v>765</v>
      </c>
      <c r="Q121" s="62" t="s">
        <v>766</v>
      </c>
      <c r="R121" s="62" t="s">
        <v>919</v>
      </c>
      <c r="S121" s="62" t="s">
        <v>1012</v>
      </c>
      <c r="T121" s="62" t="s">
        <v>1013</v>
      </c>
      <c r="U121" s="62" t="s">
        <v>1014</v>
      </c>
    </row>
    <row r="122" spans="1:21" x14ac:dyDescent="0.3">
      <c r="B122" s="7">
        <f xml:space="preserve"> ROW( co_impactTypes[[#This Row],[row_id]] ) - ROW(co_impactTypes[[#Headers],[row_id]] )</f>
        <v>1</v>
      </c>
      <c r="C122" s="14" t="s">
        <v>559</v>
      </c>
      <c r="D122" s="59" t="s">
        <v>800</v>
      </c>
      <c r="E122" s="83" t="s">
        <v>560</v>
      </c>
      <c r="F122" s="115" t="s">
        <v>560</v>
      </c>
      <c r="G122" s="63" t="s">
        <v>800</v>
      </c>
      <c r="H122" s="59" t="s">
        <v>1020</v>
      </c>
      <c r="I122" s="59" t="s">
        <v>251</v>
      </c>
      <c r="J122" s="59" t="s">
        <v>256</v>
      </c>
      <c r="K122" s="59" t="s">
        <v>256</v>
      </c>
      <c r="L122" s="59" t="s">
        <v>786</v>
      </c>
      <c r="M122" s="59" t="s">
        <v>257</v>
      </c>
      <c r="N122" s="58">
        <v>0</v>
      </c>
      <c r="O122" s="58">
        <v>1</v>
      </c>
      <c r="P122" s="58">
        <v>0.4</v>
      </c>
      <c r="Q122" s="64">
        <f xml:space="preserve"> IF(co_impactTypes[[#This Row],[econMultiplierName]]="None", "N/A", 2010)</f>
        <v>2010</v>
      </c>
      <c r="R122" s="65"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65" cm="1">
        <f t="array" ref="S122" xml:space="preserve"> IF( co_impactTypes[[#This Row],[damageAdjName]] = "none", 1, --( SUMPRODUCT( --IF( ISERROR( FIND( co_impactTypes[[#This Row],[damageAdjName]], scalarDataframe[scalarName] ) ), 0, 1 ), --( "damageAdj" = scalarDataframe[scalarType] ) ) &gt;= 1 ) )</f>
        <v>1</v>
      </c>
      <c r="T122" s="65" cm="1">
        <f t="array" ref="T122" xml:space="preserve"> IF( co_impactTypes[[#This Row],[econScalarName]] = "none", 1, --( SUMPRODUCT( --IF( ISERROR( FIND( co_impactTypes[[#This Row],[econScalarName]], scalarDataframe[scalarName] ) ), 0, 1 ), --( "econScalar" = scalarDataframe[scalarType] ) ) &gt;= 1 ) )</f>
        <v>1</v>
      </c>
      <c r="U122" s="65"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3">
      <c r="B123" s="7">
        <f xml:space="preserve"> ROW( co_impactTypes[[#This Row],[row_id]] ) - ROW(co_impactTypes[[#Headers],[row_id]] )</f>
        <v>2</v>
      </c>
      <c r="C123" s="14" t="s">
        <v>559</v>
      </c>
      <c r="D123" s="59" t="s">
        <v>801</v>
      </c>
      <c r="E123" s="83" t="s">
        <v>659</v>
      </c>
      <c r="F123" s="115" t="s">
        <v>659</v>
      </c>
      <c r="G123" s="63" t="s">
        <v>801</v>
      </c>
      <c r="H123" s="59" t="s">
        <v>1020</v>
      </c>
      <c r="I123" s="59" t="s">
        <v>251</v>
      </c>
      <c r="J123" s="59" t="s">
        <v>256</v>
      </c>
      <c r="K123" s="59" t="s">
        <v>256</v>
      </c>
      <c r="L123" s="59" t="s">
        <v>786</v>
      </c>
      <c r="M123" s="59" t="s">
        <v>257</v>
      </c>
      <c r="N123" s="58">
        <v>0</v>
      </c>
      <c r="O123" s="58">
        <v>1</v>
      </c>
      <c r="P123" s="58">
        <v>0.4</v>
      </c>
      <c r="Q123" s="64">
        <f xml:space="preserve"> IF(co_impactTypes[[#This Row],[econMultiplierName]]="None", "N/A", 2010)</f>
        <v>2010</v>
      </c>
      <c r="R123" s="65"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65" cm="1">
        <f t="array" ref="S123" xml:space="preserve"> IF( co_impactTypes[[#This Row],[damageAdjName]] = "none", 1, --( SUMPRODUCT( --IF( ISERROR( FIND( co_impactTypes[[#This Row],[damageAdjName]], scalarDataframe[scalarName] ) ), 0, 1 ), --( "damageAdj" = scalarDataframe[scalarType] ) ) &gt;= 1 ) )</f>
        <v>1</v>
      </c>
      <c r="T123" s="65" cm="1">
        <f t="array" ref="T123" xml:space="preserve"> IF( co_impactTypes[[#This Row],[econScalarName]] = "none", 1, --( SUMPRODUCT( --IF( ISERROR( FIND( co_impactTypes[[#This Row],[econScalarName]], scalarDataframe[scalarName] ) ), 0, 1 ), --( "econScalar" = scalarDataframe[scalarType] ) ) &gt;= 1 ) )</f>
        <v>1</v>
      </c>
      <c r="U123" s="65"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3">
      <c r="B124" s="7">
        <f xml:space="preserve"> ROW( co_impactTypes[[#This Row],[row_id]] ) - ROW(co_impactTypes[[#Headers],[row_id]] )</f>
        <v>3</v>
      </c>
      <c r="C124" s="14" t="s">
        <v>1005</v>
      </c>
      <c r="D124" s="59" t="s">
        <v>201</v>
      </c>
      <c r="E124" s="83" t="s">
        <v>927</v>
      </c>
      <c r="F124" s="115"/>
      <c r="G124" s="63" t="s">
        <v>1006</v>
      </c>
      <c r="H124" s="59"/>
      <c r="I124" s="59" t="s">
        <v>1009</v>
      </c>
      <c r="J124" s="59" t="s">
        <v>256</v>
      </c>
      <c r="K124" s="59" t="s">
        <v>256</v>
      </c>
      <c r="L124" s="59" t="s">
        <v>256</v>
      </c>
      <c r="M124" s="59" t="s">
        <v>256</v>
      </c>
      <c r="N124" s="58">
        <v>0</v>
      </c>
      <c r="O124" s="58">
        <v>1</v>
      </c>
      <c r="P124" s="58">
        <v>1</v>
      </c>
      <c r="Q124" s="64" t="str">
        <f xml:space="preserve"> IF(co_impactTypes[[#This Row],[econMultiplierName]]="None", "N/A", 2010)</f>
        <v>N/A</v>
      </c>
      <c r="R124" s="65"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65" cm="1">
        <f t="array" ref="S124" xml:space="preserve"> IF( co_impactTypes[[#This Row],[damageAdjName]] = "none", 1, --( SUMPRODUCT( --IF( ISERROR( FIND( co_impactTypes[[#This Row],[damageAdjName]], scalarDataframe[scalarName] ) ), 0, 1 ), --( "damageAdj" = scalarDataframe[scalarType] ) ) &gt;= 1 ) )</f>
        <v>1</v>
      </c>
      <c r="T124" s="65" cm="1">
        <f t="array" ref="T124" xml:space="preserve"> IF( co_impactTypes[[#This Row],[econScalarName]] = "none", 1, --( SUMPRODUCT( --IF( ISERROR( FIND( co_impactTypes[[#This Row],[econScalarName]], scalarDataframe[scalarName] ) ), 0, 1 ), --( "econScalar" = scalarDataframe[scalarType] ) ) &gt;= 1 ) )</f>
        <v>1</v>
      </c>
      <c r="U124" s="65"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3">
      <c r="B125" s="7">
        <f xml:space="preserve"> ROW( co_impactTypes[[#This Row],[row_id]] ) - ROW(co_impactTypes[[#Headers],[row_id]] )</f>
        <v>4</v>
      </c>
      <c r="C125" s="14" t="s">
        <v>1247</v>
      </c>
      <c r="D125" s="59" t="s">
        <v>201</v>
      </c>
      <c r="E125" s="83" t="s">
        <v>927</v>
      </c>
      <c r="F125" s="115"/>
      <c r="G125" s="63" t="s">
        <v>1265</v>
      </c>
      <c r="H125" s="59" t="s">
        <v>1020</v>
      </c>
      <c r="I125" s="59" t="s">
        <v>251</v>
      </c>
      <c r="J125" s="59" t="s">
        <v>256</v>
      </c>
      <c r="K125" s="59" t="s">
        <v>256</v>
      </c>
      <c r="L125" s="59" t="s">
        <v>786</v>
      </c>
      <c r="M125" s="59" t="s">
        <v>257</v>
      </c>
      <c r="N125" s="58">
        <v>0</v>
      </c>
      <c r="O125" s="58">
        <v>1</v>
      </c>
      <c r="P125" s="58">
        <v>0.4</v>
      </c>
      <c r="Q125" s="64">
        <f xml:space="preserve"> IF(co_impactTypes[[#This Row],[econMultiplierName]]="None", "N/A", 2010)</f>
        <v>2010</v>
      </c>
      <c r="R125" s="65"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65" cm="1">
        <f t="array" ref="S125" xml:space="preserve"> IF( co_impactTypes[[#This Row],[damageAdjName]] = "none", 1, --( SUMPRODUCT( --IF( ISERROR( FIND( co_impactTypes[[#This Row],[damageAdjName]], scalarDataframe[scalarName] ) ), 0, 1 ), --( "damageAdj" = scalarDataframe[scalarType] ) ) &gt;= 1 ) )</f>
        <v>1</v>
      </c>
      <c r="T125" s="65" cm="1">
        <f t="array" ref="T125" xml:space="preserve"> IF( co_impactTypes[[#This Row],[econScalarName]] = "none", 1, --( SUMPRODUCT( --IF( ISERROR( FIND( co_impactTypes[[#This Row],[econScalarName]], scalarDataframe[scalarName] ) ), 0, 1 ), --( "econScalar" = scalarDataframe[scalarType] ) ) &gt;= 1 ) )</f>
        <v>1</v>
      </c>
      <c r="U125" s="65"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3">
      <c r="B126" s="7">
        <f xml:space="preserve"> ROW( co_impactTypes[[#This Row],[row_id]] ) - ROW(co_impactTypes[[#Headers],[row_id]] )</f>
        <v>5</v>
      </c>
      <c r="C126" s="14" t="s">
        <v>1229</v>
      </c>
      <c r="D126" s="59" t="s">
        <v>1166</v>
      </c>
      <c r="E126" s="59" t="s">
        <v>1166</v>
      </c>
      <c r="F126" s="59" t="s">
        <v>1166</v>
      </c>
      <c r="G126" s="63" t="s">
        <v>1170</v>
      </c>
      <c r="H126" s="59"/>
      <c r="I126" s="59" t="s">
        <v>256</v>
      </c>
      <c r="J126" s="59" t="s">
        <v>256</v>
      </c>
      <c r="K126" s="59" t="s">
        <v>256</v>
      </c>
      <c r="L126" s="59" t="s">
        <v>256</v>
      </c>
      <c r="M126" s="59" t="s">
        <v>256</v>
      </c>
      <c r="N126" s="58">
        <v>0</v>
      </c>
      <c r="O126" s="58">
        <v>1</v>
      </c>
      <c r="P126" s="58">
        <v>1</v>
      </c>
      <c r="Q126" s="64" t="str">
        <f xml:space="preserve"> IF(co_impactTypes[[#This Row],[econMultiplierName]]="None", "N/A", 2010)</f>
        <v>N/A</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6</v>
      </c>
      <c r="C127" s="14" t="s">
        <v>1229</v>
      </c>
      <c r="D127" s="59" t="s">
        <v>1167</v>
      </c>
      <c r="E127" s="59" t="s">
        <v>1167</v>
      </c>
      <c r="F127" s="59" t="s">
        <v>1167</v>
      </c>
      <c r="G127" s="63" t="s">
        <v>1170</v>
      </c>
      <c r="H127" s="59"/>
      <c r="I127" s="59" t="s">
        <v>256</v>
      </c>
      <c r="J127" s="125" t="s">
        <v>256</v>
      </c>
      <c r="K127" s="125" t="s">
        <v>256</v>
      </c>
      <c r="L127" s="59" t="s">
        <v>256</v>
      </c>
      <c r="M127" s="59" t="s">
        <v>256</v>
      </c>
      <c r="N127" s="58">
        <v>0</v>
      </c>
      <c r="O127" s="58">
        <v>1</v>
      </c>
      <c r="P127" s="58">
        <v>1</v>
      </c>
      <c r="Q127" s="64" t="str">
        <f xml:space="preserve"> IF(co_impactTypes[[#This Row],[econMultiplierName]]="None", "N/A", 2010)</f>
        <v>N/A</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7</v>
      </c>
      <c r="C128" s="14" t="s">
        <v>1229</v>
      </c>
      <c r="D128" s="59" t="s">
        <v>1168</v>
      </c>
      <c r="E128" s="59" t="s">
        <v>1168</v>
      </c>
      <c r="F128" s="59" t="s">
        <v>1168</v>
      </c>
      <c r="G128" s="63" t="s">
        <v>1170</v>
      </c>
      <c r="H128" s="59"/>
      <c r="I128" s="59" t="s">
        <v>256</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8</v>
      </c>
      <c r="C129" s="14" t="s">
        <v>1229</v>
      </c>
      <c r="D129" s="59" t="s">
        <v>1169</v>
      </c>
      <c r="E129" s="59" t="s">
        <v>1169</v>
      </c>
      <c r="F129" s="59" t="s">
        <v>1169</v>
      </c>
      <c r="G129" s="63" t="s">
        <v>1170</v>
      </c>
      <c r="H129" s="59"/>
      <c r="I129" s="59" t="s">
        <v>256</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9</v>
      </c>
      <c r="C130" s="14" t="s">
        <v>1230</v>
      </c>
      <c r="D130" s="59" t="s">
        <v>1223</v>
      </c>
      <c r="E130" s="63" t="s">
        <v>1223</v>
      </c>
      <c r="F130" s="115" t="s">
        <v>1223</v>
      </c>
      <c r="G130" s="63" t="s">
        <v>1233</v>
      </c>
      <c r="H130" s="59" t="s">
        <v>1234</v>
      </c>
      <c r="I130" s="59" t="s">
        <v>256</v>
      </c>
      <c r="J130" s="59" t="s">
        <v>256</v>
      </c>
      <c r="K130" s="59" t="s">
        <v>256</v>
      </c>
      <c r="L130" s="59" t="s">
        <v>1225</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10</v>
      </c>
      <c r="C131" s="14" t="s">
        <v>1230</v>
      </c>
      <c r="D131" s="59" t="s">
        <v>1224</v>
      </c>
      <c r="E131" s="63" t="s">
        <v>1224</v>
      </c>
      <c r="F131" s="115" t="s">
        <v>1224</v>
      </c>
      <c r="G131" s="63" t="s">
        <v>1233</v>
      </c>
      <c r="H131" s="59" t="s">
        <v>1234</v>
      </c>
      <c r="I131" s="59" t="s">
        <v>256</v>
      </c>
      <c r="J131" s="59" t="s">
        <v>256</v>
      </c>
      <c r="K131" s="59" t="s">
        <v>256</v>
      </c>
      <c r="L131" s="59" t="s">
        <v>1227</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11</v>
      </c>
      <c r="C132" s="14" t="s">
        <v>1159</v>
      </c>
      <c r="D132" s="59" t="s">
        <v>201</v>
      </c>
      <c r="E132" s="83" t="s">
        <v>927</v>
      </c>
      <c r="F132" s="115"/>
      <c r="G132" s="63" t="s">
        <v>768</v>
      </c>
      <c r="H132" s="59" t="s">
        <v>1020</v>
      </c>
      <c r="I132" s="59" t="s">
        <v>251</v>
      </c>
      <c r="J132" s="59" t="s">
        <v>256</v>
      </c>
      <c r="K132" s="59" t="s">
        <v>256</v>
      </c>
      <c r="L132" s="59" t="s">
        <v>786</v>
      </c>
      <c r="M132" s="59" t="s">
        <v>257</v>
      </c>
      <c r="N132" s="58">
        <v>0</v>
      </c>
      <c r="O132" s="58">
        <v>1</v>
      </c>
      <c r="P132" s="58">
        <v>0.4</v>
      </c>
      <c r="Q132" s="64">
        <f xml:space="preserve"> IF(co_impactTypes[[#This Row],[econMultiplierName]]="None", "N/A", 2010)</f>
        <v>2010</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12</v>
      </c>
      <c r="C133" s="14" t="s">
        <v>86</v>
      </c>
      <c r="D133" s="59" t="s">
        <v>201</v>
      </c>
      <c r="E133" s="83" t="s">
        <v>927</v>
      </c>
      <c r="F133" s="83" t="s">
        <v>927</v>
      </c>
      <c r="G133" s="63" t="s">
        <v>803</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ht="21" x14ac:dyDescent="0.3">
      <c r="B134" s="7">
        <f xml:space="preserve"> ROW( co_impactTypes[[#This Row],[row_id]] ) - ROW(co_impactTypes[[#Headers],[row_id]] )</f>
        <v>13</v>
      </c>
      <c r="C134" s="14" t="s">
        <v>220</v>
      </c>
      <c r="D134" s="59" t="s">
        <v>201</v>
      </c>
      <c r="E134" s="83" t="s">
        <v>927</v>
      </c>
      <c r="F134" s="115"/>
      <c r="G134" s="63" t="s">
        <v>996</v>
      </c>
      <c r="H134" s="59"/>
      <c r="I134" s="59" t="s">
        <v>256</v>
      </c>
      <c r="J134" s="59" t="s">
        <v>256</v>
      </c>
      <c r="K134" s="59" t="s">
        <v>261</v>
      </c>
      <c r="L134" s="59" t="s">
        <v>256</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14</v>
      </c>
      <c r="C135" s="14" t="s">
        <v>1002</v>
      </c>
      <c r="D135" s="59" t="s">
        <v>201</v>
      </c>
      <c r="E135" s="83" t="s">
        <v>927</v>
      </c>
      <c r="F135" s="115"/>
      <c r="G135" s="66" t="s">
        <v>981</v>
      </c>
      <c r="H135" s="67"/>
      <c r="I135" s="59" t="s">
        <v>256</v>
      </c>
      <c r="J135" s="56" t="s">
        <v>256</v>
      </c>
      <c r="K135" s="56" t="s">
        <v>1003</v>
      </c>
      <c r="L135" s="59" t="s">
        <v>256</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15</v>
      </c>
      <c r="C136" s="14" t="s">
        <v>17</v>
      </c>
      <c r="D136" s="59" t="s">
        <v>203</v>
      </c>
      <c r="E136" s="83" t="s">
        <v>16</v>
      </c>
      <c r="F136" s="115" t="s">
        <v>16</v>
      </c>
      <c r="G136" s="63" t="s">
        <v>810</v>
      </c>
      <c r="H136" s="59" t="s">
        <v>1020</v>
      </c>
      <c r="I136" s="59" t="s">
        <v>251</v>
      </c>
      <c r="J136" s="59" t="s">
        <v>258</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16</v>
      </c>
      <c r="C137" s="14" t="s">
        <v>17</v>
      </c>
      <c r="D137" s="59" t="s">
        <v>202</v>
      </c>
      <c r="E137" s="83" t="s">
        <v>14</v>
      </c>
      <c r="F137" s="115" t="s">
        <v>14</v>
      </c>
      <c r="G137" s="63" t="s">
        <v>811</v>
      </c>
      <c r="H137" s="59" t="s">
        <v>1020</v>
      </c>
      <c r="I137" s="59" t="s">
        <v>251</v>
      </c>
      <c r="J137" s="59" t="s">
        <v>258</v>
      </c>
      <c r="K137" s="59" t="s">
        <v>256</v>
      </c>
      <c r="L137" s="59" t="s">
        <v>786</v>
      </c>
      <c r="M137" s="59" t="s">
        <v>257</v>
      </c>
      <c r="N137" s="58">
        <v>0</v>
      </c>
      <c r="O137" s="58">
        <v>1</v>
      </c>
      <c r="P137" s="58">
        <v>0.4</v>
      </c>
      <c r="Q137" s="64">
        <f xml:space="preserve"> IF(co_impactTypes[[#This Row],[econMultiplierName]]="None", "N/A", 2010)</f>
        <v>2010</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17</v>
      </c>
      <c r="C138" s="14" t="s">
        <v>221</v>
      </c>
      <c r="D138" s="59" t="s">
        <v>201</v>
      </c>
      <c r="E138" s="83" t="s">
        <v>927</v>
      </c>
      <c r="F138" s="83" t="s">
        <v>927</v>
      </c>
      <c r="G138" s="63" t="s">
        <v>224</v>
      </c>
      <c r="H138" s="59"/>
      <c r="I138" s="59" t="s">
        <v>256</v>
      </c>
      <c r="J138" s="59" t="s">
        <v>256</v>
      </c>
      <c r="K138" s="59" t="s">
        <v>256</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1" x14ac:dyDescent="0.3">
      <c r="B139" s="7">
        <f xml:space="preserve"> ROW( co_impactTypes[[#This Row],[row_id]] ) - ROW(co_impactTypes[[#Headers],[row_id]] )</f>
        <v>18</v>
      </c>
      <c r="C139" s="14" t="s">
        <v>84</v>
      </c>
      <c r="D139" s="59" t="s">
        <v>201</v>
      </c>
      <c r="E139" s="83" t="s">
        <v>927</v>
      </c>
      <c r="F139" s="115"/>
      <c r="G139" s="63" t="s">
        <v>1086</v>
      </c>
      <c r="H139" s="59"/>
      <c r="I139" s="59" t="s">
        <v>256</v>
      </c>
      <c r="J139" s="59" t="s">
        <v>256</v>
      </c>
      <c r="K139" s="59" t="s">
        <v>256</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1" x14ac:dyDescent="0.3">
      <c r="B140" s="7">
        <f xml:space="preserve"> ROW( co_impactTypes[[#This Row],[row_id]] ) - ROW(co_impactTypes[[#Headers],[row_id]] )</f>
        <v>19</v>
      </c>
      <c r="C140" s="14" t="s">
        <v>34</v>
      </c>
      <c r="D140" s="59" t="s">
        <v>201</v>
      </c>
      <c r="E140" s="83" t="s">
        <v>804</v>
      </c>
      <c r="F140" s="115"/>
      <c r="G140" s="63" t="s">
        <v>807</v>
      </c>
      <c r="H140" s="59" t="s">
        <v>1022</v>
      </c>
      <c r="I140" s="59" t="s">
        <v>759</v>
      </c>
      <c r="J140" s="59" t="s">
        <v>256</v>
      </c>
      <c r="K140" s="59" t="s">
        <v>256</v>
      </c>
      <c r="L140" s="59" t="s">
        <v>1010</v>
      </c>
      <c r="M140" s="59" t="s">
        <v>257</v>
      </c>
      <c r="N140" s="58">
        <v>0</v>
      </c>
      <c r="O140" s="58">
        <v>1</v>
      </c>
      <c r="P140" s="58">
        <v>1</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20</v>
      </c>
      <c r="C141" s="14" t="s">
        <v>223</v>
      </c>
      <c r="D141" s="59" t="s">
        <v>201</v>
      </c>
      <c r="E141" s="83" t="s">
        <v>927</v>
      </c>
      <c r="F141" s="115"/>
      <c r="G141" s="63" t="s">
        <v>1163</v>
      </c>
      <c r="H141" s="59"/>
      <c r="I141" s="59" t="s">
        <v>256</v>
      </c>
      <c r="J141" s="59" t="s">
        <v>256</v>
      </c>
      <c r="K141" s="59" t="s">
        <v>256</v>
      </c>
      <c r="L141" s="59" t="s">
        <v>256</v>
      </c>
      <c r="M141" s="59" t="s">
        <v>256</v>
      </c>
      <c r="N141" s="58">
        <v>0</v>
      </c>
      <c r="O141" s="58">
        <v>1000000</v>
      </c>
      <c r="P141" s="58">
        <v>1</v>
      </c>
      <c r="Q141" s="64" t="str">
        <f xml:space="preserve"> IF(co_impactTypes[[#This Row],[econMultiplierName]]="None", "N/A", 2010)</f>
        <v>N/A</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3">
      <c r="B142" s="7">
        <f xml:space="preserve"> ROW( co_impactTypes[[#This Row],[row_id]] ) - ROW(co_impactTypes[[#Headers],[row_id]] )</f>
        <v>21</v>
      </c>
      <c r="C142" s="14" t="s">
        <v>209</v>
      </c>
      <c r="D142" s="59" t="s">
        <v>201</v>
      </c>
      <c r="E142" s="83" t="s">
        <v>927</v>
      </c>
      <c r="F142" s="115"/>
      <c r="G142" s="66" t="s">
        <v>805</v>
      </c>
      <c r="H142" s="67"/>
      <c r="I142" s="59" t="s">
        <v>236</v>
      </c>
      <c r="J142" s="56" t="s">
        <v>256</v>
      </c>
      <c r="K142" s="56" t="s">
        <v>781</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3">
      <c r="B143" s="7">
        <f xml:space="preserve"> ROW( co_impactTypes[[#This Row],[row_id]] ) - ROW(co_impactTypes[[#Headers],[row_id]] )</f>
        <v>22</v>
      </c>
      <c r="C143" s="14" t="s">
        <v>216</v>
      </c>
      <c r="D143" s="59" t="s">
        <v>201</v>
      </c>
      <c r="E143" s="83" t="s">
        <v>927</v>
      </c>
      <c r="F143" s="115"/>
      <c r="G143" s="66" t="s">
        <v>808</v>
      </c>
      <c r="H143" s="67"/>
      <c r="I143" s="59" t="s">
        <v>250</v>
      </c>
      <c r="J143" s="56" t="s">
        <v>256</v>
      </c>
      <c r="K143" s="56" t="s">
        <v>237</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23</v>
      </c>
      <c r="C144" s="14" t="s">
        <v>85</v>
      </c>
      <c r="D144" s="59" t="s">
        <v>982</v>
      </c>
      <c r="E144" s="83" t="s">
        <v>195</v>
      </c>
      <c r="F144" s="115" t="s">
        <v>195</v>
      </c>
      <c r="G144" s="63" t="s">
        <v>214</v>
      </c>
      <c r="H144" s="59"/>
      <c r="I144" s="59" t="s">
        <v>251</v>
      </c>
      <c r="J144" s="59" t="s">
        <v>259</v>
      </c>
      <c r="K144" s="59" t="s">
        <v>256</v>
      </c>
      <c r="L144" s="59" t="s">
        <v>788</v>
      </c>
      <c r="M144" s="59" t="s">
        <v>256</v>
      </c>
      <c r="N144" s="58">
        <v>0</v>
      </c>
      <c r="O144" s="58">
        <v>1</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24</v>
      </c>
      <c r="C145" s="14" t="s">
        <v>85</v>
      </c>
      <c r="D145" s="59" t="s">
        <v>217</v>
      </c>
      <c r="E145" s="83" t="s">
        <v>194</v>
      </c>
      <c r="F145" s="115" t="s">
        <v>194</v>
      </c>
      <c r="G145" s="63" t="s">
        <v>213</v>
      </c>
      <c r="H145" s="59"/>
      <c r="I145" s="59" t="s">
        <v>251</v>
      </c>
      <c r="J145" s="59" t="s">
        <v>259</v>
      </c>
      <c r="K145" s="59" t="s">
        <v>256</v>
      </c>
      <c r="L145" s="59" t="s">
        <v>788</v>
      </c>
      <c r="M145" s="59" t="s">
        <v>256</v>
      </c>
      <c r="N145" s="58">
        <v>0</v>
      </c>
      <c r="O145" s="58">
        <v>1</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25</v>
      </c>
      <c r="C146" s="14" t="s">
        <v>85</v>
      </c>
      <c r="D146" s="59" t="s">
        <v>204</v>
      </c>
      <c r="E146" s="83" t="s">
        <v>191</v>
      </c>
      <c r="F146" s="115" t="s">
        <v>191</v>
      </c>
      <c r="G146" s="63" t="s">
        <v>204</v>
      </c>
      <c r="H146" s="59" t="s">
        <v>1020</v>
      </c>
      <c r="I146" s="59" t="s">
        <v>251</v>
      </c>
      <c r="J146" s="59" t="s">
        <v>259</v>
      </c>
      <c r="K146" s="59" t="s">
        <v>256</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26</v>
      </c>
      <c r="C147" s="14" t="s">
        <v>85</v>
      </c>
      <c r="D147" s="59" t="s">
        <v>205</v>
      </c>
      <c r="E147" s="83" t="s">
        <v>193</v>
      </c>
      <c r="F147" s="115" t="s">
        <v>193</v>
      </c>
      <c r="G147" s="63" t="s">
        <v>212</v>
      </c>
      <c r="H147" s="59"/>
      <c r="I147" s="59" t="s">
        <v>251</v>
      </c>
      <c r="J147" s="59" t="s">
        <v>259</v>
      </c>
      <c r="K147" s="59" t="s">
        <v>256</v>
      </c>
      <c r="L147" s="59" t="s">
        <v>789</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7">
        <f xml:space="preserve"> ROW( co_impactTypes[[#This Row],[row_id]] ) - ROW(co_impactTypes[[#Headers],[row_id]] )</f>
        <v>27</v>
      </c>
      <c r="C148" s="14" t="s">
        <v>85</v>
      </c>
      <c r="D148" s="59" t="s">
        <v>249</v>
      </c>
      <c r="E148" s="83" t="s">
        <v>192</v>
      </c>
      <c r="F148" s="115" t="s">
        <v>192</v>
      </c>
      <c r="G148" s="63" t="s">
        <v>809</v>
      </c>
      <c r="H148" s="59"/>
      <c r="I148" s="59" t="s">
        <v>251</v>
      </c>
      <c r="J148" s="59" t="s">
        <v>259</v>
      </c>
      <c r="K148" s="59" t="s">
        <v>256</v>
      </c>
      <c r="L148" s="59" t="s">
        <v>812</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1" x14ac:dyDescent="0.3">
      <c r="B149" s="7">
        <f xml:space="preserve"> ROW( co_impactTypes[[#This Row],[row_id]] ) - ROW(co_impactTypes[[#Headers],[row_id]] )</f>
        <v>28</v>
      </c>
      <c r="C149" s="14" t="s">
        <v>225</v>
      </c>
      <c r="D149" s="59" t="s">
        <v>201</v>
      </c>
      <c r="E149" s="83" t="s">
        <v>927</v>
      </c>
      <c r="F149" s="115"/>
      <c r="G149" s="63" t="s">
        <v>995</v>
      </c>
      <c r="H149" s="59"/>
      <c r="I149" s="59" t="s">
        <v>256</v>
      </c>
      <c r="J149" s="59" t="s">
        <v>256</v>
      </c>
      <c r="K149" s="59" t="s">
        <v>256</v>
      </c>
      <c r="L149" s="59" t="s">
        <v>256</v>
      </c>
      <c r="M149" s="59" t="s">
        <v>256</v>
      </c>
      <c r="N149" s="58">
        <v>0</v>
      </c>
      <c r="O149" s="58">
        <f>10^6</f>
        <v>1000000</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29</v>
      </c>
      <c r="C150" s="14" t="s">
        <v>983</v>
      </c>
      <c r="D150" s="59" t="s">
        <v>994</v>
      </c>
      <c r="E150" s="83" t="s">
        <v>804</v>
      </c>
      <c r="F150" s="115" t="s">
        <v>994</v>
      </c>
      <c r="G150" s="63" t="s">
        <v>994</v>
      </c>
      <c r="H150" s="59"/>
      <c r="I150" s="59" t="s">
        <v>251</v>
      </c>
      <c r="J150" s="59" t="s">
        <v>989</v>
      </c>
      <c r="K150" s="59" t="s">
        <v>256</v>
      </c>
      <c r="L150" s="59" t="s">
        <v>990</v>
      </c>
      <c r="M150" s="59" t="s">
        <v>257</v>
      </c>
      <c r="N150" s="58">
        <v>0</v>
      </c>
      <c r="O150" s="58">
        <v>1</v>
      </c>
      <c r="P150" s="58">
        <v>1</v>
      </c>
      <c r="Q150" s="64">
        <f xml:space="preserve"> IF(co_impactTypes[[#This Row],[econMultiplierName]]="None", "N/A", 2010)</f>
        <v>2010</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30</v>
      </c>
      <c r="C151" s="14" t="s">
        <v>983</v>
      </c>
      <c r="D151" s="59" t="s">
        <v>769</v>
      </c>
      <c r="E151" s="115" t="s">
        <v>769</v>
      </c>
      <c r="F151" s="115" t="s">
        <v>769</v>
      </c>
      <c r="G151" s="63" t="s">
        <v>769</v>
      </c>
      <c r="H151" s="59"/>
      <c r="I151" s="59" t="s">
        <v>251</v>
      </c>
      <c r="J151" s="59" t="s">
        <v>1011</v>
      </c>
      <c r="K151" s="59" t="s">
        <v>256</v>
      </c>
      <c r="L151" s="59" t="s">
        <v>991</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31</v>
      </c>
      <c r="C152" s="14" t="s">
        <v>983</v>
      </c>
      <c r="D152" s="59" t="s">
        <v>768</v>
      </c>
      <c r="E152" s="115" t="s">
        <v>768</v>
      </c>
      <c r="F152" s="115" t="s">
        <v>768</v>
      </c>
      <c r="G152" s="63" t="s">
        <v>768</v>
      </c>
      <c r="H152" s="59" t="s">
        <v>1020</v>
      </c>
      <c r="I152" s="59" t="s">
        <v>251</v>
      </c>
      <c r="J152" s="59" t="s">
        <v>988</v>
      </c>
      <c r="K152" s="59" t="s">
        <v>256</v>
      </c>
      <c r="L152" s="59" t="s">
        <v>786</v>
      </c>
      <c r="M152" s="59" t="s">
        <v>257</v>
      </c>
      <c r="N152" s="58">
        <v>0</v>
      </c>
      <c r="O152" s="58">
        <v>1</v>
      </c>
      <c r="P152" s="58">
        <v>0.4</v>
      </c>
      <c r="Q152" s="64">
        <f xml:space="preserve"> IF(co_impactTypes[[#This Row],[econMultiplierName]]="None", "N/A", 2010)</f>
        <v>2010</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7">
        <f xml:space="preserve"> ROW( co_impactTypes[[#This Row],[row_id]] ) - ROW(co_impactTypes[[#Headers],[row_id]] )</f>
        <v>32</v>
      </c>
      <c r="C153" s="14" t="s">
        <v>1303</v>
      </c>
      <c r="D153" s="59" t="s">
        <v>1307</v>
      </c>
      <c r="E153" s="59" t="s">
        <v>1304</v>
      </c>
      <c r="F153" s="59" t="s">
        <v>1304</v>
      </c>
      <c r="G153" s="59" t="s">
        <v>1307</v>
      </c>
      <c r="H153" s="59"/>
      <c r="I153" s="59" t="s">
        <v>251</v>
      </c>
      <c r="J153" s="59" t="s">
        <v>256</v>
      </c>
      <c r="K153" s="59" t="s">
        <v>256</v>
      </c>
      <c r="L153" s="59" t="s">
        <v>256</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7">
        <f xml:space="preserve"> ROW( co_impactTypes[[#This Row],[row_id]] ) - ROW(co_impactTypes[[#Headers],[row_id]] )</f>
        <v>33</v>
      </c>
      <c r="C154" s="14" t="s">
        <v>1303</v>
      </c>
      <c r="D154" s="59" t="s">
        <v>1308</v>
      </c>
      <c r="E154" s="59" t="s">
        <v>1305</v>
      </c>
      <c r="F154" s="59" t="s">
        <v>1305</v>
      </c>
      <c r="G154" s="59" t="s">
        <v>1308</v>
      </c>
      <c r="H154" s="59"/>
      <c r="I154" s="59" t="s">
        <v>251</v>
      </c>
      <c r="J154" s="59" t="s">
        <v>256</v>
      </c>
      <c r="K154" s="59" t="s">
        <v>256</v>
      </c>
      <c r="L154" s="59" t="s">
        <v>990</v>
      </c>
      <c r="M154" s="59" t="s">
        <v>257</v>
      </c>
      <c r="N154" s="58">
        <v>0</v>
      </c>
      <c r="O154" s="58">
        <v>1</v>
      </c>
      <c r="P154" s="58">
        <v>1</v>
      </c>
      <c r="Q154" s="64">
        <f xml:space="preserve"> IF(co_impactTypes[[#This Row],[econMultiplierName]]="None", "N/A", 2010)</f>
        <v>2010</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34</v>
      </c>
      <c r="C155" s="14" t="s">
        <v>1303</v>
      </c>
      <c r="D155" s="59" t="s">
        <v>768</v>
      </c>
      <c r="E155" s="59" t="s">
        <v>768</v>
      </c>
      <c r="F155" s="59" t="s">
        <v>768</v>
      </c>
      <c r="G155" s="59" t="s">
        <v>768</v>
      </c>
      <c r="H155" s="59"/>
      <c r="I155" s="59" t="s">
        <v>251</v>
      </c>
      <c r="J155" s="59" t="s">
        <v>256</v>
      </c>
      <c r="K155" s="59" t="s">
        <v>256</v>
      </c>
      <c r="L155" s="59" t="s">
        <v>786</v>
      </c>
      <c r="M155" s="59" t="s">
        <v>257</v>
      </c>
      <c r="N155" s="58">
        <v>0</v>
      </c>
      <c r="O155" s="58">
        <v>1</v>
      </c>
      <c r="P155" s="58">
        <v>1</v>
      </c>
      <c r="Q155" s="64">
        <f xml:space="preserve"> IF(co_impactTypes[[#This Row],[econMultiplierName]]="None", "N/A", 2010)</f>
        <v>2010</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35</v>
      </c>
      <c r="C156" s="14" t="s">
        <v>227</v>
      </c>
      <c r="D156" s="59" t="s">
        <v>201</v>
      </c>
      <c r="E156" s="83" t="s">
        <v>927</v>
      </c>
      <c r="F156" s="115"/>
      <c r="G156" s="63" t="s">
        <v>806</v>
      </c>
      <c r="H156" s="59"/>
      <c r="I156" s="59" t="s">
        <v>251</v>
      </c>
      <c r="J156" s="59" t="s">
        <v>256</v>
      </c>
      <c r="K156" s="59" t="s">
        <v>256</v>
      </c>
      <c r="L156" s="59" t="s">
        <v>256</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36</v>
      </c>
      <c r="C157" s="14" t="s">
        <v>761</v>
      </c>
      <c r="D157" s="59" t="s">
        <v>769</v>
      </c>
      <c r="E157" s="83" t="s">
        <v>769</v>
      </c>
      <c r="F157" s="115" t="s">
        <v>769</v>
      </c>
      <c r="G157" s="63" t="s">
        <v>769</v>
      </c>
      <c r="H157" s="59"/>
      <c r="I157" s="59" t="s">
        <v>251</v>
      </c>
      <c r="J157" s="59" t="s">
        <v>256</v>
      </c>
      <c r="K157" s="59" t="s">
        <v>256</v>
      </c>
      <c r="L157" s="59" t="s">
        <v>256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37</v>
      </c>
      <c r="C158" s="14" t="s">
        <v>761</v>
      </c>
      <c r="D158" s="59" t="s">
        <v>768</v>
      </c>
      <c r="E158" s="83" t="s">
        <v>768</v>
      </c>
      <c r="F158" s="115" t="s">
        <v>768</v>
      </c>
      <c r="G158" s="63" t="s">
        <v>768</v>
      </c>
      <c r="H158" s="59" t="s">
        <v>1020</v>
      </c>
      <c r="I158" s="59" t="s">
        <v>251</v>
      </c>
      <c r="J158" s="59" t="s">
        <v>256</v>
      </c>
      <c r="K158" s="59" t="s">
        <v>256</v>
      </c>
      <c r="L158" s="59" t="s">
        <v>786</v>
      </c>
      <c r="M158" s="59" t="s">
        <v>257</v>
      </c>
      <c r="N158" s="58">
        <v>0</v>
      </c>
      <c r="O158" s="58">
        <v>1</v>
      </c>
      <c r="P158" s="58">
        <v>0.4</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38</v>
      </c>
      <c r="C159" s="14" t="s">
        <v>761</v>
      </c>
      <c r="D159" s="59" t="s">
        <v>802</v>
      </c>
      <c r="E159" s="83" t="s">
        <v>772</v>
      </c>
      <c r="F159" s="115" t="s">
        <v>802</v>
      </c>
      <c r="G159" s="63" t="s">
        <v>802</v>
      </c>
      <c r="H159" s="59" t="s">
        <v>1021</v>
      </c>
      <c r="I159" s="59" t="s">
        <v>256</v>
      </c>
      <c r="J159" s="59" t="s">
        <v>256</v>
      </c>
      <c r="K159" s="59" t="s">
        <v>256</v>
      </c>
      <c r="L159" s="59" t="s">
        <v>771</v>
      </c>
      <c r="M159" s="59" t="s">
        <v>256</v>
      </c>
      <c r="N159" s="58">
        <v>0</v>
      </c>
      <c r="O159" s="58">
        <v>1</v>
      </c>
      <c r="P159" s="58">
        <v>1</v>
      </c>
      <c r="Q159" s="64" t="str">
        <f xml:space="preserve"> IF(co_impactTypes[[#This Row],[econMultiplierName]]="None", "N/A", 2010)</f>
        <v>N/A</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39</v>
      </c>
      <c r="C160" s="14" t="s">
        <v>1088</v>
      </c>
      <c r="D160" s="59" t="s">
        <v>201</v>
      </c>
      <c r="E160" s="83" t="s">
        <v>927</v>
      </c>
      <c r="F160" s="115"/>
      <c r="G160" s="63" t="s">
        <v>1099</v>
      </c>
      <c r="H160" s="59"/>
      <c r="I160" s="59" t="s">
        <v>256</v>
      </c>
      <c r="J160" s="59" t="s">
        <v>256</v>
      </c>
      <c r="K160" s="59" t="s">
        <v>256</v>
      </c>
      <c r="L160" s="59" t="s">
        <v>256</v>
      </c>
      <c r="M160" s="59" t="s">
        <v>256</v>
      </c>
      <c r="N160" s="58">
        <v>0</v>
      </c>
      <c r="O160" s="58">
        <v>1</v>
      </c>
      <c r="P160" s="58">
        <v>1</v>
      </c>
      <c r="Q160" s="64" t="str">
        <f xml:space="preserve"> IF(co_impactTypes[[#This Row],[econMultiplierName]]="None", "N/A", 2010)</f>
        <v>N/A</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ht="21" x14ac:dyDescent="0.3">
      <c r="B161" s="7">
        <f xml:space="preserve"> ROW( co_impactTypes[[#This Row],[row_id]] ) - ROW(co_impactTypes[[#Headers],[row_id]] )</f>
        <v>40</v>
      </c>
      <c r="C161" s="14" t="s">
        <v>89</v>
      </c>
      <c r="D161" s="59" t="s">
        <v>206</v>
      </c>
      <c r="E161" s="83" t="s">
        <v>90</v>
      </c>
      <c r="F161" s="115" t="s">
        <v>90</v>
      </c>
      <c r="G161" s="63" t="s">
        <v>997</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ht="21" x14ac:dyDescent="0.3">
      <c r="B162" s="7">
        <f xml:space="preserve"> ROW( co_impactTypes[[#This Row],[row_id]] ) - ROW(co_impactTypes[[#Headers],[row_id]] )</f>
        <v>41</v>
      </c>
      <c r="C162" s="14" t="s">
        <v>89</v>
      </c>
      <c r="D162" s="59" t="s">
        <v>207</v>
      </c>
      <c r="E162" s="83" t="s">
        <v>91</v>
      </c>
      <c r="F162" s="115" t="s">
        <v>91</v>
      </c>
      <c r="G162" s="63" t="s">
        <v>998</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ht="21" x14ac:dyDescent="0.3">
      <c r="B163" s="7">
        <f xml:space="preserve"> ROW( co_impactTypes[[#This Row],[row_id]] ) - ROW(co_impactTypes[[#Headers],[row_id]] )</f>
        <v>42</v>
      </c>
      <c r="C163" s="14" t="s">
        <v>89</v>
      </c>
      <c r="D163" s="59" t="s">
        <v>92</v>
      </c>
      <c r="E163" s="83" t="s">
        <v>92</v>
      </c>
      <c r="F163" s="115" t="s">
        <v>92</v>
      </c>
      <c r="G163" s="63" t="s">
        <v>999</v>
      </c>
      <c r="H163" s="59"/>
      <c r="I163" s="59" t="s">
        <v>251</v>
      </c>
      <c r="J163" s="59" t="s">
        <v>256</v>
      </c>
      <c r="K163" s="59" t="s">
        <v>256</v>
      </c>
      <c r="L163" s="59" t="s">
        <v>256</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6" spans="1:21" ht="14.5" x14ac:dyDescent="0.35">
      <c r="A166" s="47"/>
      <c r="B166" s="48" t="s">
        <v>1161</v>
      </c>
      <c r="C166" s="48"/>
      <c r="D166" s="48"/>
      <c r="E166" s="48"/>
      <c r="F166" s="48"/>
      <c r="G166" s="48"/>
      <c r="H166" s="48"/>
      <c r="I166" s="48"/>
      <c r="J166" s="48"/>
      <c r="K166" s="48"/>
      <c r="L166" s="48"/>
      <c r="M166" s="48"/>
      <c r="N166" s="48"/>
      <c r="O166" s="48"/>
      <c r="P166" s="48"/>
      <c r="Q166" s="48"/>
      <c r="R166" s="48"/>
      <c r="S166" s="48"/>
      <c r="T166" s="48"/>
      <c r="U166" s="48"/>
    </row>
    <row r="168" spans="1:21" ht="14.5" x14ac:dyDescent="0.35">
      <c r="B168" s="60" t="s">
        <v>780</v>
      </c>
      <c r="C168" s="60" t="s">
        <v>254</v>
      </c>
      <c r="D168" s="60" t="s">
        <v>253</v>
      </c>
      <c r="E168" s="62" t="s">
        <v>813</v>
      </c>
      <c r="F168" s="62" t="s">
        <v>891</v>
      </c>
      <c r="G168" s="62" t="s">
        <v>892</v>
      </c>
      <c r="H168" s="62" t="s">
        <v>817</v>
      </c>
      <c r="I168" s="62" t="s">
        <v>909</v>
      </c>
      <c r="J168" s="60" t="s">
        <v>833</v>
      </c>
      <c r="K168" s="60" t="s">
        <v>1015</v>
      </c>
      <c r="R168" s="8"/>
      <c r="S168" s="8"/>
      <c r="T168" s="8"/>
    </row>
    <row r="169" spans="1:21" ht="21" x14ac:dyDescent="0.35">
      <c r="B169" s="12">
        <f xml:space="preserve"> ROW( co_scalarInfo[[#This Row],[row_id]] ) - ROW( co_scalarInfo[[#Headers],[row_id]] )</f>
        <v>1</v>
      </c>
      <c r="C169" s="57" t="s">
        <v>261</v>
      </c>
      <c r="D169" s="57" t="s">
        <v>260</v>
      </c>
      <c r="E169" s="135" t="s">
        <v>815</v>
      </c>
      <c r="F169" s="135" t="s">
        <v>895</v>
      </c>
      <c r="G169" s="135" t="s">
        <v>894</v>
      </c>
      <c r="H169" s="135">
        <v>2015</v>
      </c>
      <c r="I169" s="136" t="s">
        <v>910</v>
      </c>
      <c r="J169" s="69"/>
      <c r="K169" s="69" cm="1">
        <f t="array" ref="K169" xml:space="preserve"> SUMPRODUCT( --( co_scalarInfo[[#This Row],[scalarName]] = scalarDataframe[scalarName] ) )</f>
        <v>140</v>
      </c>
      <c r="R169"/>
      <c r="S169"/>
      <c r="T169"/>
    </row>
    <row r="170" spans="1:21" ht="21" x14ac:dyDescent="0.35">
      <c r="B170" s="12">
        <f xml:space="preserve"> ROW( co_scalarInfo[[#This Row],[row_id]] ) - ROW( co_scalarInfo[[#Headers],[row_id]] )</f>
        <v>2</v>
      </c>
      <c r="C170" s="63" t="s">
        <v>1003</v>
      </c>
      <c r="D170" s="57" t="s">
        <v>798</v>
      </c>
      <c r="E170" s="135" t="s">
        <v>815</v>
      </c>
      <c r="F170" s="135" t="s">
        <v>895</v>
      </c>
      <c r="G170" s="135" t="s">
        <v>894</v>
      </c>
      <c r="H170" s="137" t="s">
        <v>946</v>
      </c>
      <c r="I170" s="136" t="s">
        <v>910</v>
      </c>
      <c r="J170" s="69"/>
      <c r="K170" s="69" cm="1">
        <f t="array" ref="K170" xml:space="preserve"> SUMPRODUCT( --( co_scalarInfo[[#This Row],[scalarName]] = scalarDataframe[scalarName] ) )</f>
        <v>140</v>
      </c>
      <c r="R170"/>
      <c r="S170"/>
      <c r="T170"/>
    </row>
    <row r="171" spans="1:21" ht="14.5" x14ac:dyDescent="0.35">
      <c r="B171" s="12">
        <f xml:space="preserve"> ROW( co_scalarInfo[[#This Row],[row_id]] ) - ROW( co_scalarInfo[[#Headers],[row_id]] )</f>
        <v>3</v>
      </c>
      <c r="C171" s="63" t="s">
        <v>256</v>
      </c>
      <c r="D171" s="57" t="s">
        <v>915</v>
      </c>
      <c r="E171" s="135" t="s">
        <v>815</v>
      </c>
      <c r="F171" s="135" t="s">
        <v>785</v>
      </c>
      <c r="G171" s="135" t="s">
        <v>893</v>
      </c>
      <c r="H171" s="135" t="s">
        <v>201</v>
      </c>
      <c r="I171" s="136" t="s">
        <v>912</v>
      </c>
      <c r="J171" s="69" t="s">
        <v>916</v>
      </c>
      <c r="K171" s="69" cm="1">
        <f t="array" ref="K171" xml:space="preserve"> SUMPRODUCT( --( co_scalarInfo[[#This Row],[scalarName]] = scalarDataframe[scalarName] ) )</f>
        <v>0</v>
      </c>
      <c r="R171"/>
      <c r="S171"/>
      <c r="T171"/>
    </row>
    <row r="172" spans="1:21" ht="14.5" x14ac:dyDescent="0.35">
      <c r="B172" s="12">
        <f xml:space="preserve"> ROW( co_scalarInfo[[#This Row],[row_id]] ) - ROW( co_scalarInfo[[#Headers],[row_id]] )</f>
        <v>4</v>
      </c>
      <c r="C172" s="63" t="s">
        <v>781</v>
      </c>
      <c r="D172" s="57" t="s">
        <v>799</v>
      </c>
      <c r="E172" s="135" t="s">
        <v>815</v>
      </c>
      <c r="F172" s="135" t="s">
        <v>895</v>
      </c>
      <c r="G172" s="135" t="s">
        <v>893</v>
      </c>
      <c r="H172" s="137" t="s">
        <v>946</v>
      </c>
      <c r="I172" s="136" t="s">
        <v>910</v>
      </c>
      <c r="J172" s="69"/>
      <c r="K172" s="69" cm="1">
        <f t="array" ref="K172" xml:space="preserve"> SUMPRODUCT( --( co_scalarInfo[[#This Row],[scalarName]] = scalarDataframe[scalarName] ) )</f>
        <v>20</v>
      </c>
      <c r="R172"/>
      <c r="S172"/>
      <c r="T172"/>
    </row>
    <row r="173" spans="1:21" ht="42" x14ac:dyDescent="0.35">
      <c r="B173" s="12">
        <f xml:space="preserve"> ROW( co_scalarInfo[[#This Row],[row_id]] ) - ROW( co_scalarInfo[[#Headers],[row_id]] )</f>
        <v>5</v>
      </c>
      <c r="C173" s="63" t="s">
        <v>897</v>
      </c>
      <c r="D173" s="57" t="s">
        <v>900</v>
      </c>
      <c r="E173" s="135" t="s">
        <v>815</v>
      </c>
      <c r="F173" s="135" t="s">
        <v>895</v>
      </c>
      <c r="G173" s="135" t="s">
        <v>894</v>
      </c>
      <c r="H173" s="137" t="s">
        <v>946</v>
      </c>
      <c r="I173" s="136" t="s">
        <v>910</v>
      </c>
      <c r="J173" s="69" t="s">
        <v>899</v>
      </c>
      <c r="K173" s="69" cm="1">
        <f t="array" ref="K173" xml:space="preserve"> SUMPRODUCT( --( co_scalarInfo[[#This Row],[scalarName]] = scalarDataframe[scalarName] ) )</f>
        <v>157</v>
      </c>
      <c r="R173"/>
      <c r="S173"/>
      <c r="T173"/>
    </row>
    <row r="174" spans="1:21" ht="31.5" x14ac:dyDescent="0.35">
      <c r="B174" s="12">
        <f xml:space="preserve"> ROW( co_scalarInfo[[#This Row],[row_id]] ) - ROW( co_scalarInfo[[#Headers],[row_id]] )</f>
        <v>6</v>
      </c>
      <c r="C174" s="63" t="s">
        <v>896</v>
      </c>
      <c r="D174" s="57" t="s">
        <v>901</v>
      </c>
      <c r="E174" s="135" t="s">
        <v>815</v>
      </c>
      <c r="F174" s="135" t="s">
        <v>895</v>
      </c>
      <c r="G174" s="135" t="s">
        <v>894</v>
      </c>
      <c r="H174" s="137" t="s">
        <v>946</v>
      </c>
      <c r="I174" s="136" t="s">
        <v>910</v>
      </c>
      <c r="J174" s="69" t="s">
        <v>898</v>
      </c>
      <c r="K174" s="69" cm="1">
        <f t="array" ref="K174" xml:space="preserve"> SUMPRODUCT( --( co_scalarInfo[[#This Row],[scalarName]] = scalarDataframe[scalarName] ) )</f>
        <v>157</v>
      </c>
      <c r="R174"/>
      <c r="S174"/>
      <c r="T174"/>
    </row>
    <row r="175" spans="1:21" ht="14.5" x14ac:dyDescent="0.35">
      <c r="B175" s="12">
        <f xml:space="preserve"> ROW( co_scalarInfo[[#This Row],[row_id]] ) - ROW( co_scalarInfo[[#Headers],[row_id]] )</f>
        <v>7</v>
      </c>
      <c r="C175" s="63" t="s">
        <v>990</v>
      </c>
      <c r="D175" s="57" t="s">
        <v>992</v>
      </c>
      <c r="E175" s="135" t="s">
        <v>814</v>
      </c>
      <c r="F175" s="135" t="s">
        <v>785</v>
      </c>
      <c r="G175" s="135" t="s">
        <v>893</v>
      </c>
      <c r="H175" s="137" t="s">
        <v>946</v>
      </c>
      <c r="I175" s="136" t="s">
        <v>910</v>
      </c>
      <c r="J175" s="69"/>
      <c r="K175" s="69" cm="1">
        <f t="array" ref="K175" xml:space="preserve"> SUMPRODUCT( --( co_scalarInfo[[#This Row],[scalarName]] = scalarDataframe[scalarName] ) )</f>
        <v>1</v>
      </c>
      <c r="R175"/>
      <c r="S175"/>
      <c r="T175"/>
    </row>
    <row r="176" spans="1:21" ht="14.5" x14ac:dyDescent="0.35">
      <c r="B176" s="12">
        <f xml:space="preserve"> ROW( co_scalarInfo[[#This Row],[row_id]] ) - ROW( co_scalarInfo[[#Headers],[row_id]] )</f>
        <v>8</v>
      </c>
      <c r="C176" s="57" t="s">
        <v>1010</v>
      </c>
      <c r="D176" s="57" t="s">
        <v>767</v>
      </c>
      <c r="E176" s="135" t="s">
        <v>814</v>
      </c>
      <c r="F176" s="135" t="s">
        <v>785</v>
      </c>
      <c r="G176" s="135" t="s">
        <v>893</v>
      </c>
      <c r="H176" s="135">
        <v>2015</v>
      </c>
      <c r="I176" s="136" t="s">
        <v>910</v>
      </c>
      <c r="J176" s="69"/>
      <c r="K176" s="69" cm="1">
        <f t="array" ref="K176" xml:space="preserve"> SUMPRODUCT( --( co_scalarInfo[[#This Row],[scalarName]] = scalarDataframe[scalarName] ) )</f>
        <v>1</v>
      </c>
      <c r="R176"/>
      <c r="S176"/>
      <c r="T176"/>
    </row>
    <row r="177" spans="2:20" ht="21" x14ac:dyDescent="0.35">
      <c r="B177" s="12">
        <f xml:space="preserve"> ROW( co_scalarInfo[[#This Row],[row_id]] ) - ROW( co_scalarInfo[[#Headers],[row_id]] )</f>
        <v>9</v>
      </c>
      <c r="C177" s="63" t="s">
        <v>812</v>
      </c>
      <c r="D177" s="57" t="s">
        <v>791</v>
      </c>
      <c r="E177" s="135" t="s">
        <v>814</v>
      </c>
      <c r="F177" s="135" t="s">
        <v>785</v>
      </c>
      <c r="G177" s="135" t="s">
        <v>893</v>
      </c>
      <c r="H177" s="135">
        <v>2015</v>
      </c>
      <c r="I177" s="136" t="s">
        <v>910</v>
      </c>
      <c r="J177" s="69"/>
      <c r="K177" s="69" cm="1">
        <f t="array" ref="K177" xml:space="preserve"> SUMPRODUCT( --( co_scalarInfo[[#This Row],[scalarName]] = scalarDataframe[scalarName] ) )</f>
        <v>1</v>
      </c>
      <c r="R177"/>
      <c r="S177"/>
      <c r="T177"/>
    </row>
    <row r="178" spans="2:20" ht="21" x14ac:dyDescent="0.3">
      <c r="B178" s="12">
        <f xml:space="preserve"> ROW( co_scalarInfo[[#This Row],[row_id]] ) - ROW( co_scalarInfo[[#Headers],[row_id]] )</f>
        <v>10</v>
      </c>
      <c r="C178" s="63" t="s">
        <v>788</v>
      </c>
      <c r="D178" s="57" t="s">
        <v>787</v>
      </c>
      <c r="E178" s="135" t="s">
        <v>814</v>
      </c>
      <c r="F178" s="135" t="s">
        <v>785</v>
      </c>
      <c r="G178" s="135" t="s">
        <v>893</v>
      </c>
      <c r="H178" s="135">
        <v>2015</v>
      </c>
      <c r="I178" s="136" t="s">
        <v>910</v>
      </c>
      <c r="J178" s="69"/>
      <c r="K178" s="69" cm="1">
        <f t="array" ref="K178" xml:space="preserve"> SUMPRODUCT( --( co_scalarInfo[[#This Row],[scalarName]] = scalarDataframe[scalarName] ) )</f>
        <v>1</v>
      </c>
    </row>
    <row r="179" spans="2:20" ht="21" x14ac:dyDescent="0.3">
      <c r="B179" s="12">
        <f xml:space="preserve"> ROW( co_scalarInfo[[#This Row],[row_id]] ) - ROW( co_scalarInfo[[#Headers],[row_id]] )</f>
        <v>11</v>
      </c>
      <c r="C179" s="63" t="s">
        <v>789</v>
      </c>
      <c r="D179" s="57" t="s">
        <v>790</v>
      </c>
      <c r="E179" s="135" t="s">
        <v>814</v>
      </c>
      <c r="F179" s="135" t="s">
        <v>785</v>
      </c>
      <c r="G179" s="135" t="s">
        <v>893</v>
      </c>
      <c r="H179" s="135">
        <v>2015</v>
      </c>
      <c r="I179" s="136" t="s">
        <v>910</v>
      </c>
      <c r="J179" s="69"/>
      <c r="K179" s="69" cm="1">
        <f t="array" ref="K179" xml:space="preserve"> SUMPRODUCT( --( co_scalarInfo[[#This Row],[scalarName]] = scalarDataframe[scalarName] ) )</f>
        <v>1</v>
      </c>
    </row>
    <row r="180" spans="2:20" x14ac:dyDescent="0.3">
      <c r="B180" s="12">
        <f xml:space="preserve"> ROW( co_scalarInfo[[#This Row],[row_id]] ) - ROW( co_scalarInfo[[#Headers],[row_id]] )</f>
        <v>12</v>
      </c>
      <c r="C180" s="63" t="s">
        <v>256</v>
      </c>
      <c r="D180" s="57" t="s">
        <v>915</v>
      </c>
      <c r="E180" s="135" t="s">
        <v>814</v>
      </c>
      <c r="F180" s="135" t="s">
        <v>785</v>
      </c>
      <c r="G180" s="135" t="s">
        <v>893</v>
      </c>
      <c r="H180" s="135" t="s">
        <v>201</v>
      </c>
      <c r="I180" s="136" t="s">
        <v>912</v>
      </c>
      <c r="J180" s="69" t="s">
        <v>916</v>
      </c>
      <c r="K180" s="69" cm="1">
        <f t="array" ref="K180" xml:space="preserve"> SUMPRODUCT( --( co_scalarInfo[[#This Row],[scalarName]] = scalarDataframe[scalarName] ) )</f>
        <v>0</v>
      </c>
    </row>
    <row r="181" spans="2:20" x14ac:dyDescent="0.3">
      <c r="B181" s="12">
        <f xml:space="preserve"> ROW( co_scalarInfo[[#This Row],[row_id]] ) - ROW( co_scalarInfo[[#Headers],[row_id]] )</f>
        <v>13</v>
      </c>
      <c r="C181" s="63" t="s">
        <v>1225</v>
      </c>
      <c r="D181" s="57" t="s">
        <v>1226</v>
      </c>
      <c r="E181" s="135" t="s">
        <v>814</v>
      </c>
      <c r="F181" s="135" t="s">
        <v>785</v>
      </c>
      <c r="G181" s="135" t="s">
        <v>894</v>
      </c>
      <c r="H181" s="137">
        <v>2015</v>
      </c>
      <c r="I181" s="136"/>
      <c r="J181" s="69"/>
      <c r="K181" s="69" cm="1">
        <f t="array" ref="K181" xml:space="preserve"> SUMPRODUCT( --( co_scalarInfo[[#This Row],[scalarName]] = scalarDataframe[scalarName] ) )</f>
        <v>7</v>
      </c>
    </row>
    <row r="182" spans="2:20" ht="21" x14ac:dyDescent="0.3">
      <c r="B182" s="12">
        <f xml:space="preserve"> ROW( co_scalarInfo[[#This Row],[row_id]] ) - ROW( co_scalarInfo[[#Headers],[row_id]] )</f>
        <v>14</v>
      </c>
      <c r="C182" s="63" t="s">
        <v>991</v>
      </c>
      <c r="D182" s="57" t="s">
        <v>993</v>
      </c>
      <c r="E182" s="135" t="s">
        <v>814</v>
      </c>
      <c r="F182" s="135" t="s">
        <v>785</v>
      </c>
      <c r="G182" s="135" t="s">
        <v>893</v>
      </c>
      <c r="H182" s="137" t="s">
        <v>946</v>
      </c>
      <c r="I182" s="136" t="s">
        <v>910</v>
      </c>
      <c r="J182" s="69"/>
      <c r="K182" s="69" cm="1">
        <f t="array" ref="K182" xml:space="preserve"> SUMPRODUCT( --( co_scalarInfo[[#This Row],[scalarName]] = scalarDataframe[scalarName] ) )</f>
        <v>1</v>
      </c>
    </row>
    <row r="183" spans="2:20" x14ac:dyDescent="0.3">
      <c r="B183" s="12">
        <f xml:space="preserve"> ROW( co_scalarInfo[[#This Row],[row_id]] ) - ROW( co_scalarInfo[[#Headers],[row_id]] )</f>
        <v>15</v>
      </c>
      <c r="C183" s="63" t="s">
        <v>1227</v>
      </c>
      <c r="D183" s="57" t="s">
        <v>1228</v>
      </c>
      <c r="E183" s="135" t="s">
        <v>814</v>
      </c>
      <c r="F183" s="135" t="s">
        <v>785</v>
      </c>
      <c r="G183" s="135" t="s">
        <v>894</v>
      </c>
      <c r="H183" s="137">
        <v>2015</v>
      </c>
      <c r="I183" s="136"/>
      <c r="J183" s="69"/>
      <c r="K183" s="69" cm="1">
        <f t="array" ref="K183" xml:space="preserve"> SUMPRODUCT( --( co_scalarInfo[[#This Row],[scalarName]] = scalarDataframe[scalarName] ) )</f>
        <v>7</v>
      </c>
    </row>
    <row r="184" spans="2:20" x14ac:dyDescent="0.3">
      <c r="B184" s="12">
        <f xml:space="preserve"> ROW( co_scalarInfo[[#This Row],[row_id]] ) - ROW( co_scalarInfo[[#Headers],[row_id]] )</f>
        <v>16</v>
      </c>
      <c r="C184" s="57" t="s">
        <v>786</v>
      </c>
      <c r="D184" s="57" t="s">
        <v>18</v>
      </c>
      <c r="E184" s="135" t="s">
        <v>814</v>
      </c>
      <c r="F184" s="135" t="s">
        <v>785</v>
      </c>
      <c r="G184" s="135" t="s">
        <v>893</v>
      </c>
      <c r="H184" s="135">
        <v>2010</v>
      </c>
      <c r="I184" s="136" t="s">
        <v>910</v>
      </c>
      <c r="J184" s="69"/>
      <c r="K184" s="69" cm="1">
        <f t="array" ref="K184" xml:space="preserve"> SUMPRODUCT( --( co_scalarInfo[[#This Row],[scalarName]] = scalarDataframe[scalarName] ) )</f>
        <v>1</v>
      </c>
    </row>
    <row r="185" spans="2:20" x14ac:dyDescent="0.3">
      <c r="B185" s="12">
        <f xml:space="preserve"> ROW( co_scalarInfo[[#This Row],[row_id]] ) - ROW( co_scalarInfo[[#Headers],[row_id]] )</f>
        <v>17</v>
      </c>
      <c r="C185" s="63" t="s">
        <v>771</v>
      </c>
      <c r="D185" s="57" t="s">
        <v>770</v>
      </c>
      <c r="E185" s="135" t="s">
        <v>814</v>
      </c>
      <c r="F185" s="135" t="s">
        <v>785</v>
      </c>
      <c r="G185" s="135" t="s">
        <v>894</v>
      </c>
      <c r="H185" s="135">
        <v>2015</v>
      </c>
      <c r="I185" s="136" t="s">
        <v>910</v>
      </c>
      <c r="J185" s="69"/>
      <c r="K185" s="69" cm="1">
        <f t="array" ref="K185" xml:space="preserve"> SUMPRODUCT( --( co_scalarInfo[[#This Row],[scalarName]] = scalarDataframe[scalarName] ) )</f>
        <v>7</v>
      </c>
    </row>
    <row r="186" spans="2:20" x14ac:dyDescent="0.3">
      <c r="B186" s="12">
        <f xml:space="preserve"> ROW( co_scalarInfo[[#This Row],[row_id]] ) - ROW( co_scalarInfo[[#Headers],[row_id]] )</f>
        <v>18</v>
      </c>
      <c r="C186" s="63" t="s">
        <v>258</v>
      </c>
      <c r="D186" s="57" t="s">
        <v>793</v>
      </c>
      <c r="E186" s="135" t="s">
        <v>834</v>
      </c>
      <c r="F186" s="135" t="s">
        <v>895</v>
      </c>
      <c r="G186" s="135" t="s">
        <v>894</v>
      </c>
      <c r="H186" s="137" t="s">
        <v>946</v>
      </c>
      <c r="I186" s="136" t="s">
        <v>910</v>
      </c>
      <c r="J186" s="69"/>
      <c r="K186" s="69" cm="1">
        <f t="array" ref="K186" xml:space="preserve"> SUMPRODUCT( --( co_scalarInfo[[#This Row],[scalarName]] = scalarDataframe[scalarName] ) )</f>
        <v>42</v>
      </c>
    </row>
    <row r="187" spans="2:20" x14ac:dyDescent="0.3">
      <c r="B187" s="12">
        <f xml:space="preserve"> ROW( co_scalarInfo[[#This Row],[row_id]] ) - ROW( co_scalarInfo[[#Headers],[row_id]] )</f>
        <v>19</v>
      </c>
      <c r="C187" s="63" t="s">
        <v>256</v>
      </c>
      <c r="D187" s="57" t="s">
        <v>915</v>
      </c>
      <c r="E187" s="135" t="s">
        <v>834</v>
      </c>
      <c r="F187" s="135" t="s">
        <v>785</v>
      </c>
      <c r="G187" s="135" t="s">
        <v>893</v>
      </c>
      <c r="H187" s="135" t="s">
        <v>201</v>
      </c>
      <c r="I187" s="136" t="s">
        <v>912</v>
      </c>
      <c r="J187" s="69" t="s">
        <v>916</v>
      </c>
      <c r="K187" s="69" cm="1">
        <f t="array" ref="K187" xml:space="preserve"> SUMPRODUCT( --( co_scalarInfo[[#This Row],[scalarName]] = scalarDataframe[scalarName] ) )</f>
        <v>0</v>
      </c>
    </row>
    <row r="188" spans="2:20" x14ac:dyDescent="0.3">
      <c r="B188" s="12">
        <f xml:space="preserve"> ROW( co_scalarInfo[[#This Row],[row_id]] ) - ROW( co_scalarInfo[[#Headers],[row_id]] )</f>
        <v>20</v>
      </c>
      <c r="C188" s="63" t="s">
        <v>259</v>
      </c>
      <c r="D188" s="57" t="s">
        <v>795</v>
      </c>
      <c r="E188" s="135" t="s">
        <v>834</v>
      </c>
      <c r="F188" s="135" t="s">
        <v>895</v>
      </c>
      <c r="G188" s="135" t="s">
        <v>894</v>
      </c>
      <c r="H188" s="137" t="s">
        <v>946</v>
      </c>
      <c r="I188" s="136" t="s">
        <v>910</v>
      </c>
      <c r="J188" s="69"/>
      <c r="K188" s="69" cm="1">
        <f t="array" ref="K188" xml:space="preserve"> SUMPRODUCT( --( co_scalarInfo[[#This Row],[scalarName]] = scalarDataframe[scalarName] ) )</f>
        <v>140</v>
      </c>
    </row>
    <row r="189" spans="2:20" ht="21" x14ac:dyDescent="0.3">
      <c r="B189" s="12">
        <f xml:space="preserve"> ROW( co_scalarInfo[[#This Row],[row_id]] ) - ROW( co_scalarInfo[[#Headers],[row_id]] )</f>
        <v>21</v>
      </c>
      <c r="C189" s="63" t="s">
        <v>1011</v>
      </c>
      <c r="D189" s="57" t="s">
        <v>986</v>
      </c>
      <c r="E189" s="135" t="s">
        <v>834</v>
      </c>
      <c r="F189" s="135" t="s">
        <v>785</v>
      </c>
      <c r="G189" s="135" t="s">
        <v>893</v>
      </c>
      <c r="H189" s="137" t="s">
        <v>946</v>
      </c>
      <c r="I189" s="136" t="s">
        <v>910</v>
      </c>
      <c r="J189" s="69"/>
      <c r="K189" s="69" cm="1">
        <f t="array" ref="K189" xml:space="preserve"> SUMPRODUCT( --( co_scalarInfo[[#This Row],[scalarName]] = scalarDataframe[scalarName] ) )</f>
        <v>1</v>
      </c>
    </row>
    <row r="190" spans="2:20" ht="21" x14ac:dyDescent="0.3">
      <c r="B190" s="12">
        <f xml:space="preserve"> ROW( co_scalarInfo[[#This Row],[row_id]] ) - ROW( co_scalarInfo[[#Headers],[row_id]] )</f>
        <v>22</v>
      </c>
      <c r="C190" s="63" t="s">
        <v>988</v>
      </c>
      <c r="D190" s="57" t="s">
        <v>985</v>
      </c>
      <c r="E190" s="135" t="s">
        <v>834</v>
      </c>
      <c r="F190" s="135" t="s">
        <v>785</v>
      </c>
      <c r="G190" s="135" t="s">
        <v>893</v>
      </c>
      <c r="H190" s="137" t="s">
        <v>946</v>
      </c>
      <c r="I190" s="136" t="s">
        <v>910</v>
      </c>
      <c r="J190" s="69"/>
      <c r="K190" s="69" cm="1">
        <f t="array" ref="K190" xml:space="preserve"> SUMPRODUCT( --( co_scalarInfo[[#This Row],[scalarName]] = scalarDataframe[scalarName] ) )</f>
        <v>1</v>
      </c>
    </row>
    <row r="191" spans="2:20" ht="21" x14ac:dyDescent="0.3">
      <c r="B191" s="12">
        <f xml:space="preserve"> ROW( co_scalarInfo[[#This Row],[row_id]] ) - ROW( co_scalarInfo[[#Headers],[row_id]] )</f>
        <v>23</v>
      </c>
      <c r="C191" s="63" t="s">
        <v>989</v>
      </c>
      <c r="D191" s="57" t="s">
        <v>987</v>
      </c>
      <c r="E191" s="135" t="s">
        <v>834</v>
      </c>
      <c r="F191" s="135" t="s">
        <v>785</v>
      </c>
      <c r="G191" s="135" t="s">
        <v>893</v>
      </c>
      <c r="H191" s="137" t="s">
        <v>946</v>
      </c>
      <c r="I191" s="136" t="s">
        <v>910</v>
      </c>
      <c r="J191" s="69"/>
      <c r="K191" s="69" cm="1">
        <f t="array" ref="K191" xml:space="preserve"> SUMPRODUCT( --( co_scalarInfo[[#This Row],[scalarName]] = scalarDataframe[scalarName] ) )</f>
        <v>1</v>
      </c>
    </row>
    <row r="192" spans="2:20" x14ac:dyDescent="0.3">
      <c r="B192" s="12">
        <f xml:space="preserve"> ROW( co_scalarInfo[[#This Row],[row_id]] ) - ROW( co_scalarInfo[[#Headers],[row_id]] )</f>
        <v>24</v>
      </c>
      <c r="C192" s="63" t="s">
        <v>1009</v>
      </c>
      <c r="D192" s="57" t="s">
        <v>1008</v>
      </c>
      <c r="E192" s="135" t="s">
        <v>816</v>
      </c>
      <c r="F192" s="135" t="s">
        <v>895</v>
      </c>
      <c r="G192" s="135" t="s">
        <v>894</v>
      </c>
      <c r="H192" s="137" t="s">
        <v>946</v>
      </c>
      <c r="I192" s="136" t="s">
        <v>910</v>
      </c>
      <c r="J192" s="69"/>
      <c r="K192" s="69" cm="1">
        <f t="array" ref="K192" xml:space="preserve"> SUMPRODUCT( --( co_scalarInfo[[#This Row],[scalarName]] = scalarDataframe[scalarName] ) )</f>
        <v>136</v>
      </c>
    </row>
    <row r="193" spans="1:21" x14ac:dyDescent="0.3">
      <c r="B193" s="12">
        <f xml:space="preserve"> ROW( co_scalarInfo[[#This Row],[row_id]] ) - ROW( co_scalarInfo[[#Headers],[row_id]] )</f>
        <v>25</v>
      </c>
      <c r="C193" s="63" t="s">
        <v>759</v>
      </c>
      <c r="D193" s="57" t="s">
        <v>758</v>
      </c>
      <c r="E193" s="135" t="s">
        <v>816</v>
      </c>
      <c r="F193" s="135" t="s">
        <v>895</v>
      </c>
      <c r="G193" s="135" t="s">
        <v>894</v>
      </c>
      <c r="H193" s="137" t="s">
        <v>946</v>
      </c>
      <c r="I193" s="136" t="s">
        <v>910</v>
      </c>
      <c r="J193" s="69"/>
      <c r="K193" s="69" cm="1">
        <f t="array" ref="K193" xml:space="preserve"> SUMPRODUCT( --( co_scalarInfo[[#This Row],[scalarName]] = scalarDataframe[scalarName] ) )</f>
        <v>119</v>
      </c>
    </row>
    <row r="194" spans="1:21" x14ac:dyDescent="0.3">
      <c r="B194" s="12">
        <f xml:space="preserve"> ROW( co_scalarInfo[[#This Row],[row_id]] ) - ROW( co_scalarInfo[[#Headers],[row_id]] )</f>
        <v>26</v>
      </c>
      <c r="C194" s="63" t="s">
        <v>256</v>
      </c>
      <c r="D194" s="57" t="s">
        <v>915</v>
      </c>
      <c r="E194" s="135" t="s">
        <v>816</v>
      </c>
      <c r="F194" s="135" t="s">
        <v>785</v>
      </c>
      <c r="G194" s="135" t="s">
        <v>893</v>
      </c>
      <c r="H194" s="135" t="s">
        <v>201</v>
      </c>
      <c r="I194" s="136" t="s">
        <v>912</v>
      </c>
      <c r="J194" s="69" t="s">
        <v>916</v>
      </c>
      <c r="K194" s="69" cm="1">
        <f t="array" ref="K194" xml:space="preserve"> SUMPRODUCT( --( co_scalarInfo[[#This Row],[scalarName]] = scalarDataframe[scalarName] ) )</f>
        <v>0</v>
      </c>
    </row>
    <row r="195" spans="1:21" x14ac:dyDescent="0.3">
      <c r="B195" s="12">
        <f xml:space="preserve"> ROW( co_scalarInfo[[#This Row],[row_id]] ) - ROW( co_scalarInfo[[#Headers],[row_id]] )</f>
        <v>27</v>
      </c>
      <c r="C195" s="63" t="s">
        <v>236</v>
      </c>
      <c r="D195" s="57" t="s">
        <v>215</v>
      </c>
      <c r="E195" s="135" t="s">
        <v>816</v>
      </c>
      <c r="F195" s="135" t="s">
        <v>785</v>
      </c>
      <c r="G195" s="135" t="s">
        <v>894</v>
      </c>
      <c r="H195" s="137" t="s">
        <v>946</v>
      </c>
      <c r="I195" s="136" t="s">
        <v>910</v>
      </c>
      <c r="J195" s="69"/>
      <c r="K195" s="69" cm="1">
        <f t="array" ref="K195" xml:space="preserve"> SUMPRODUCT( --( co_scalarInfo[[#This Row],[scalarName]] = scalarDataframe[scalarName] ) )</f>
        <v>8</v>
      </c>
    </row>
    <row r="196" spans="1:21" x14ac:dyDescent="0.3">
      <c r="B196" s="12">
        <f xml:space="preserve"> ROW( co_scalarInfo[[#This Row],[row_id]] ) - ROW( co_scalarInfo[[#Headers],[row_id]] )</f>
        <v>28</v>
      </c>
      <c r="C196" s="63" t="s">
        <v>251</v>
      </c>
      <c r="D196" s="57" t="s">
        <v>211</v>
      </c>
      <c r="E196" s="135" t="s">
        <v>816</v>
      </c>
      <c r="F196" s="135" t="s">
        <v>895</v>
      </c>
      <c r="G196" s="135" t="s">
        <v>894</v>
      </c>
      <c r="H196" s="137" t="s">
        <v>946</v>
      </c>
      <c r="I196" s="136" t="s">
        <v>911</v>
      </c>
      <c r="J196" s="69"/>
      <c r="K196" s="69" cm="1">
        <f t="array" ref="K196" xml:space="preserve"> SUMPRODUCT( --( co_scalarInfo[[#This Row],[scalarName]] = scalarDataframe[scalarName] ) )</f>
        <v>0</v>
      </c>
    </row>
    <row r="197" spans="1:21" x14ac:dyDescent="0.3">
      <c r="B197" s="12">
        <f xml:space="preserve"> ROW( co_scalarInfo[[#This Row],[row_id]] ) - ROW( co_scalarInfo[[#Headers],[row_id]] )</f>
        <v>29</v>
      </c>
      <c r="C197" s="63" t="s">
        <v>250</v>
      </c>
      <c r="D197" s="57" t="s">
        <v>797</v>
      </c>
      <c r="E197" s="135" t="s">
        <v>816</v>
      </c>
      <c r="F197" s="135" t="s">
        <v>785</v>
      </c>
      <c r="G197" s="135" t="s">
        <v>894</v>
      </c>
      <c r="H197" s="137" t="s">
        <v>946</v>
      </c>
      <c r="I197" s="136" t="s">
        <v>910</v>
      </c>
      <c r="J197" s="69"/>
      <c r="K197" s="69" cm="1">
        <f t="array" ref="K197" xml:space="preserve"> SUMPRODUCT( --( co_scalarInfo[[#This Row],[scalarName]] = scalarDataframe[scalarName] ) )</f>
        <v>7</v>
      </c>
    </row>
    <row r="200" spans="1:21" ht="14.5" x14ac:dyDescent="0.35">
      <c r="A200" s="47"/>
      <c r="B200" s="48" t="s">
        <v>1029</v>
      </c>
      <c r="C200" s="48"/>
      <c r="D200" s="48"/>
      <c r="E200" s="48"/>
      <c r="F200" s="48"/>
      <c r="G200" s="48"/>
      <c r="H200" s="48"/>
      <c r="I200" s="48"/>
      <c r="J200" s="48"/>
      <c r="K200" s="48"/>
      <c r="L200" s="48"/>
      <c r="M200" s="48"/>
      <c r="N200" s="48"/>
      <c r="O200" s="48"/>
      <c r="P200" s="48"/>
      <c r="Q200" s="48"/>
      <c r="R200" s="48"/>
      <c r="S200" s="48"/>
      <c r="T200" s="48"/>
      <c r="U200" s="48"/>
    </row>
    <row r="202" spans="1:21" x14ac:dyDescent="0.3">
      <c r="B202" s="60" t="s">
        <v>780</v>
      </c>
      <c r="C202" s="60" t="s">
        <v>917</v>
      </c>
      <c r="D202" s="60" t="s">
        <v>944</v>
      </c>
      <c r="E202" s="61" t="s">
        <v>817</v>
      </c>
    </row>
    <row r="203" spans="1:21" x14ac:dyDescent="0.3">
      <c r="B203" s="7">
        <f xml:space="preserve"> ROW( co_econMultipliers[[#This Row],[row_id]] ) - ROW( co_econMultipliers[[#Headers],[row_id]] )</f>
        <v>1</v>
      </c>
      <c r="C203" s="14" t="s">
        <v>904</v>
      </c>
      <c r="D203" s="79" t="s">
        <v>913</v>
      </c>
      <c r="E203" s="80">
        <v>2015</v>
      </c>
    </row>
    <row r="204" spans="1:21" x14ac:dyDescent="0.3">
      <c r="B204" s="7">
        <f xml:space="preserve"> ROW( co_econMultipliers[[#This Row],[row_id]] ) - ROW( co_econMultipliers[[#Headers],[row_id]] )</f>
        <v>2</v>
      </c>
      <c r="C204" s="14" t="s">
        <v>257</v>
      </c>
      <c r="D204" s="79" t="s">
        <v>914</v>
      </c>
      <c r="E204" s="80" t="s">
        <v>201</v>
      </c>
    </row>
    <row r="205" spans="1:21" x14ac:dyDescent="0.3">
      <c r="B205" s="7">
        <f xml:space="preserve"> ROW( co_econMultipliers[[#This Row],[row_id]] ) - ROW( co_econMultipliers[[#Headers],[row_id]] )</f>
        <v>3</v>
      </c>
      <c r="C205" s="14" t="s">
        <v>256</v>
      </c>
      <c r="D205" s="79" t="s">
        <v>915</v>
      </c>
      <c r="E205" s="80" t="s">
        <v>201</v>
      </c>
    </row>
    <row r="208" spans="1:21" ht="14.5" x14ac:dyDescent="0.35">
      <c r="A208" s="47"/>
      <c r="B208" s="48" t="s">
        <v>1030</v>
      </c>
      <c r="C208" s="48"/>
      <c r="D208" s="48"/>
      <c r="E208" s="48"/>
      <c r="F208" s="48"/>
      <c r="G208" s="48"/>
      <c r="H208" s="48"/>
      <c r="I208" s="48"/>
      <c r="J208" s="48"/>
      <c r="K208" s="48"/>
      <c r="L208" s="48"/>
      <c r="M208" s="48"/>
      <c r="N208" s="48"/>
      <c r="O208" s="48"/>
      <c r="P208" s="48"/>
      <c r="Q208" s="48"/>
      <c r="R208" s="48"/>
      <c r="S208" s="48"/>
      <c r="T208" s="48"/>
      <c r="U208" s="48"/>
    </row>
    <row r="210" spans="1:21" x14ac:dyDescent="0.3">
      <c r="B210" s="60" t="s">
        <v>780</v>
      </c>
      <c r="C210" s="60" t="s">
        <v>785</v>
      </c>
      <c r="D210" s="60" t="s">
        <v>255</v>
      </c>
    </row>
    <row r="211" spans="1:21" x14ac:dyDescent="0.3">
      <c r="B211" s="7">
        <f xml:space="preserve"> ROW( co_constants[[#This Row],[row_id]] ) - ROW( co_constants[[#Headers],[row_id]] )</f>
        <v>1</v>
      </c>
      <c r="C211" s="14" t="s">
        <v>782</v>
      </c>
      <c r="D211" s="79">
        <f xml:space="preserve"> 10^9</f>
        <v>1000000000</v>
      </c>
    </row>
    <row r="212" spans="1:21" x14ac:dyDescent="0.3">
      <c r="B212" s="7">
        <f xml:space="preserve"> ROW( co_constants[[#This Row],[row_id]] ) - ROW( co_constants[[#Headers],[row_id]] )</f>
        <v>2</v>
      </c>
      <c r="C212" s="14" t="s">
        <v>783</v>
      </c>
      <c r="D212" s="79">
        <f xml:space="preserve"> 10^6</f>
        <v>1000000</v>
      </c>
    </row>
    <row r="213" spans="1:21" x14ac:dyDescent="0.3">
      <c r="B213" s="7">
        <f xml:space="preserve"> ROW( co_constants[[#This Row],[row_id]] ) - ROW( co_constants[[#Headers],[row_id]] )</f>
        <v>3</v>
      </c>
      <c r="C213" s="14" t="s">
        <v>784</v>
      </c>
      <c r="D213" s="79">
        <v>1000</v>
      </c>
    </row>
    <row r="216" spans="1:21" ht="14.5" x14ac:dyDescent="0.35">
      <c r="A216" s="47"/>
      <c r="B216" s="48" t="s">
        <v>1027</v>
      </c>
      <c r="C216" s="48"/>
      <c r="D216" s="48"/>
      <c r="E216" s="48"/>
      <c r="F216" s="48"/>
      <c r="G216" s="48"/>
      <c r="H216" s="48"/>
      <c r="I216" s="48"/>
      <c r="J216" s="48"/>
      <c r="K216" s="48"/>
      <c r="L216" s="48"/>
      <c r="M216" s="48"/>
      <c r="N216" s="48"/>
      <c r="O216" s="48"/>
      <c r="P216" s="48"/>
      <c r="Q216" s="48"/>
      <c r="R216" s="48"/>
      <c r="S216" s="48"/>
      <c r="T216" s="48"/>
      <c r="U216" s="48"/>
    </row>
    <row r="218" spans="1:21" x14ac:dyDescent="0.3">
      <c r="B218" s="72" t="s">
        <v>780</v>
      </c>
      <c r="C218" s="72" t="s">
        <v>959</v>
      </c>
      <c r="D218" s="72" t="s">
        <v>960</v>
      </c>
      <c r="E218" s="73" t="s">
        <v>966</v>
      </c>
      <c r="F218" s="73" t="s">
        <v>968</v>
      </c>
      <c r="G218" s="74" t="s">
        <v>964</v>
      </c>
      <c r="H218" s="74" t="s">
        <v>965</v>
      </c>
      <c r="I218" s="70" t="s">
        <v>973</v>
      </c>
      <c r="J218" s="70" t="s">
        <v>979</v>
      </c>
      <c r="K218" s="70" t="s">
        <v>980</v>
      </c>
      <c r="L218" s="70" t="s">
        <v>974</v>
      </c>
      <c r="M218" s="71" t="s">
        <v>978</v>
      </c>
      <c r="N218" s="71" t="s">
        <v>977</v>
      </c>
    </row>
    <row r="219" spans="1:21" x14ac:dyDescent="0.3">
      <c r="B219" s="7">
        <f xml:space="preserve"> ROW( co_modelTypes[[#This Row],[row_id]] ) - ROW( co_modelTypes[[#Headers],[row_id]] )</f>
        <v>1</v>
      </c>
      <c r="C219" s="14" t="s">
        <v>819</v>
      </c>
      <c r="D219" s="14" t="s">
        <v>958</v>
      </c>
      <c r="E219" s="75" t="s">
        <v>967</v>
      </c>
      <c r="F219" s="75" t="s">
        <v>962</v>
      </c>
      <c r="G219" s="76" t="s">
        <v>956</v>
      </c>
      <c r="H219" s="76" t="s">
        <v>957</v>
      </c>
      <c r="I219" s="77">
        <v>1995</v>
      </c>
      <c r="J219" s="77">
        <v>6</v>
      </c>
      <c r="K219" s="77">
        <v>30</v>
      </c>
      <c r="L219" s="77">
        <v>1</v>
      </c>
      <c r="M219" s="32">
        <v>7</v>
      </c>
      <c r="N219" s="32" cm="1">
        <f t="array" ref="N219" xml:space="preserve"> SUMPRODUCT( --( co_models[modelType] = co_modelTypes[[#This Row],[modelType_id]] ) )</f>
        <v>8</v>
      </c>
    </row>
    <row r="220" spans="1:21" x14ac:dyDescent="0.3">
      <c r="B220" s="7">
        <f xml:space="preserve"> ROW( co_modelTypes[[#This Row],[row_id]] ) - ROW( co_modelTypes[[#Headers],[row_id]] )</f>
        <v>2</v>
      </c>
      <c r="C220" s="14" t="s">
        <v>818</v>
      </c>
      <c r="D220" s="14" t="s">
        <v>961</v>
      </c>
      <c r="E220" s="75" t="s">
        <v>963</v>
      </c>
      <c r="F220" s="75" t="s">
        <v>963</v>
      </c>
      <c r="G220" s="76" t="s">
        <v>818</v>
      </c>
      <c r="H220" s="76" t="s">
        <v>1062</v>
      </c>
      <c r="I220" s="77">
        <v>2000</v>
      </c>
      <c r="J220" s="77">
        <v>250</v>
      </c>
      <c r="K220" s="77">
        <v>1000</v>
      </c>
      <c r="L220" s="77">
        <v>25</v>
      </c>
      <c r="M220" s="32">
        <v>6</v>
      </c>
      <c r="N220" s="32" cm="1">
        <f t="array" ref="N220" xml:space="preserve"> SUMPRODUCT( --( co_models[modelType] = co_modelTypes[[#This Row],[modelType_id]] ) )</f>
        <v>6</v>
      </c>
    </row>
    <row r="223" spans="1:21" ht="14.5" x14ac:dyDescent="0.35">
      <c r="A223" s="47"/>
      <c r="B223" s="48" t="s">
        <v>1035</v>
      </c>
      <c r="C223" s="48"/>
      <c r="D223" s="48"/>
      <c r="E223" s="48"/>
      <c r="F223" s="48"/>
      <c r="G223" s="48"/>
      <c r="H223" s="48"/>
      <c r="I223" s="48"/>
      <c r="J223" s="48"/>
      <c r="K223" s="48"/>
      <c r="L223" s="48"/>
      <c r="M223" s="48"/>
      <c r="N223" s="48"/>
      <c r="O223" s="48"/>
      <c r="P223" s="48"/>
      <c r="Q223" s="48"/>
      <c r="R223" s="48"/>
      <c r="S223" s="48"/>
      <c r="T223" s="48"/>
      <c r="U223" s="48"/>
    </row>
    <row r="225" spans="2:7" x14ac:dyDescent="0.3">
      <c r="B225" s="78" t="s">
        <v>780</v>
      </c>
      <c r="C225" s="60" t="s">
        <v>905</v>
      </c>
      <c r="D225" s="60" t="s">
        <v>890</v>
      </c>
      <c r="E225" s="60" t="s">
        <v>906</v>
      </c>
      <c r="F225" s="61" t="s">
        <v>907</v>
      </c>
      <c r="G225" s="61" t="s">
        <v>955</v>
      </c>
    </row>
    <row r="226" spans="2:7" x14ac:dyDescent="0.3">
      <c r="B226" s="7">
        <f xml:space="preserve"> ROW( co_models[[#This Row],[row_id]] ) - ROW( co_models[[#Headers],[row_id]] )</f>
        <v>1</v>
      </c>
      <c r="C226" s="79" t="s">
        <v>0</v>
      </c>
      <c r="D226" s="79" t="s">
        <v>819</v>
      </c>
      <c r="E226" s="60" t="str">
        <f xml:space="preserve"> IF( co_models[[#This Row],[modelType]] = "gcm", SUBSTITUTE( SUBSTITUTE( co_models[[#This Row],[model_id]], " ", "." ), "-", "." ),
         VALUE( SUBSTITUTE( co_models[[#This Row],[model_id]], "p", "." ) ) * 100 &amp; "cm" )</f>
        <v>CanESM2</v>
      </c>
      <c r="F226" s="61" t="str">
        <f xml:space="preserve"> SUBSTITUTE( co_models[[#This Row],[model_dot]], ".", "_" )</f>
        <v>CanESM2</v>
      </c>
      <c r="G226" s="61" t="str">
        <f xml:space="preserve"> IF( co_models[[#This Row],[modelType]] = "gcm", co_models[[#This Row],[model_id]], SUBSTITUTE( co_models[[#This Row],[model_dot]], "cm", " cm" ) )</f>
        <v>CanESM2</v>
      </c>
    </row>
    <row r="227" spans="2:7" x14ac:dyDescent="0.3">
      <c r="B227" s="7">
        <f xml:space="preserve"> ROW( co_models[[#This Row],[row_id]] ) - ROW( co_models[[#Headers],[row_id]] )</f>
        <v>2</v>
      </c>
      <c r="C227" s="79" t="s">
        <v>1</v>
      </c>
      <c r="D227" s="79" t="s">
        <v>819</v>
      </c>
      <c r="E227" s="60" t="str">
        <f xml:space="preserve"> IF( co_models[[#This Row],[modelType]] = "gcm", SUBSTITUTE( SUBSTITUTE( co_models[[#This Row],[model_id]], " ", "." ), "-", "." ),
         VALUE( SUBSTITUTE( co_models[[#This Row],[model_id]], "p", "." ) ) * 100 &amp; "cm" )</f>
        <v>CCSM4</v>
      </c>
      <c r="F227" s="61" t="str">
        <f xml:space="preserve"> SUBSTITUTE( co_models[[#This Row],[model_dot]], ".", "_" )</f>
        <v>CCSM4</v>
      </c>
      <c r="G227" s="61" t="str">
        <f xml:space="preserve"> IF( co_models[[#This Row],[modelType]] = "gcm", co_models[[#This Row],[model_id]], SUBSTITUTE( co_models[[#This Row],[model_dot]], "cm", " cm" ) )</f>
        <v>CCSM4</v>
      </c>
    </row>
    <row r="228" spans="2:7" x14ac:dyDescent="0.3">
      <c r="B228" s="7">
        <f xml:space="preserve"> ROW( co_models[[#This Row],[row_id]] ) - ROW( co_models[[#Headers],[row_id]] )</f>
        <v>3</v>
      </c>
      <c r="C228" s="79" t="s">
        <v>2</v>
      </c>
      <c r="D228" s="79" t="s">
        <v>819</v>
      </c>
      <c r="E228" s="60" t="str">
        <f xml:space="preserve"> IF( co_models[[#This Row],[modelType]] = "gcm", SUBSTITUTE( SUBSTITUTE( co_models[[#This Row],[model_id]], " ", "." ), "-", "." ),
         VALUE( SUBSTITUTE( co_models[[#This Row],[model_id]], "p", "." ) ) * 100 &amp; "cm" )</f>
        <v>GISS.E2.R</v>
      </c>
      <c r="F228" s="61" t="str">
        <f xml:space="preserve"> SUBSTITUTE( co_models[[#This Row],[model_dot]], ".", "_" )</f>
        <v>GISS_E2_R</v>
      </c>
      <c r="G228" s="61" t="str">
        <f xml:space="preserve"> IF( co_models[[#This Row],[modelType]] = "gcm", co_models[[#This Row],[model_id]], SUBSTITUTE( co_models[[#This Row],[model_dot]], "cm", " cm" ) )</f>
        <v>GISS-E2-R</v>
      </c>
    </row>
    <row r="229" spans="2:7" x14ac:dyDescent="0.3">
      <c r="B229" s="7">
        <f xml:space="preserve"> ROW( co_models[[#This Row],[row_id]] ) - ROW( co_models[[#Headers],[row_id]] )</f>
        <v>4</v>
      </c>
      <c r="C229" s="79" t="s">
        <v>3</v>
      </c>
      <c r="D229" s="79" t="s">
        <v>819</v>
      </c>
      <c r="E229" s="60" t="str">
        <f xml:space="preserve"> IF( co_models[[#This Row],[modelType]] = "gcm", SUBSTITUTE( SUBSTITUTE( co_models[[#This Row],[model_id]], " ", "." ), "-", "." ),
         VALUE( SUBSTITUTE( co_models[[#This Row],[model_id]], "p", "." ) ) * 100 &amp; "cm" )</f>
        <v>HadGEM2.ES</v>
      </c>
      <c r="F229" s="61" t="str">
        <f xml:space="preserve"> SUBSTITUTE( co_models[[#This Row],[model_dot]], ".", "_" )</f>
        <v>HadGEM2_ES</v>
      </c>
      <c r="G229" s="61" t="str">
        <f xml:space="preserve"> IF( co_models[[#This Row],[modelType]] = "gcm", co_models[[#This Row],[model_id]], SUBSTITUTE( co_models[[#This Row],[model_dot]], "cm", " cm" ) )</f>
        <v>HadGEM2-ES</v>
      </c>
    </row>
    <row r="230" spans="2:7" x14ac:dyDescent="0.3">
      <c r="B230" s="7">
        <f xml:space="preserve"> ROW( co_models[[#This Row],[row_id]] ) - ROW( co_models[[#Headers],[row_id]] )</f>
        <v>5</v>
      </c>
      <c r="C230" s="79" t="s">
        <v>4</v>
      </c>
      <c r="D230" s="79" t="s">
        <v>819</v>
      </c>
      <c r="E230" s="60" t="str">
        <f xml:space="preserve"> IF( co_models[[#This Row],[modelType]] = "gcm", SUBSTITUTE( SUBSTITUTE( co_models[[#This Row],[model_id]], " ", "." ), "-", "." ),
         VALUE( SUBSTITUTE( co_models[[#This Row],[model_id]], "p", "." ) ) * 100 &amp; "cm" )</f>
        <v>MIROC5</v>
      </c>
      <c r="F230" s="61" t="str">
        <f xml:space="preserve"> SUBSTITUTE( co_models[[#This Row],[model_dot]], ".", "_" )</f>
        <v>MIROC5</v>
      </c>
      <c r="G230" s="61" t="str">
        <f xml:space="preserve"> IF( co_models[[#This Row],[modelType]] = "gcm", co_models[[#This Row],[model_id]], SUBSTITUTE( co_models[[#This Row],[model_dot]], "cm", " cm" ) )</f>
        <v>MIROC5</v>
      </c>
    </row>
    <row r="231" spans="2:7" x14ac:dyDescent="0.3">
      <c r="B231" s="7">
        <f xml:space="preserve"> ROW( co_models[[#This Row],[row_id]] ) - ROW( co_models[[#Headers],[row_id]] )</f>
        <v>6</v>
      </c>
      <c r="C231" s="79" t="s">
        <v>5</v>
      </c>
      <c r="D231" s="79" t="s">
        <v>819</v>
      </c>
      <c r="E231" s="60" t="str">
        <f xml:space="preserve"> IF( co_models[[#This Row],[modelType]] = "gcm", SUBSTITUTE( SUBSTITUTE( co_models[[#This Row],[model_id]], " ", "." ), "-", "." ),
         VALUE( SUBSTITUTE( co_models[[#This Row],[model_id]], "p", "." ) ) * 100 &amp; "cm" )</f>
        <v>GFDL.CM3</v>
      </c>
      <c r="F231" s="61" t="str">
        <f xml:space="preserve"> SUBSTITUTE( co_models[[#This Row],[model_dot]], ".", "_" )</f>
        <v>GFDL_CM3</v>
      </c>
      <c r="G231" s="61" t="str">
        <f xml:space="preserve"> IF( co_models[[#This Row],[modelType]] = "gcm", co_models[[#This Row],[model_id]], SUBSTITUTE( co_models[[#This Row],[model_dot]], "cm", " cm" ) )</f>
        <v>GFDL-CM3</v>
      </c>
    </row>
    <row r="232" spans="2:7" x14ac:dyDescent="0.3">
      <c r="B232" s="7">
        <f xml:space="preserve"> ROW( co_models[[#This Row],[row_id]] ) - ROW( co_models[[#Headers],[row_id]] )</f>
        <v>7</v>
      </c>
      <c r="C232" s="79" t="s">
        <v>1089</v>
      </c>
      <c r="D232" s="79" t="s">
        <v>819</v>
      </c>
      <c r="E232" s="60" t="str">
        <f xml:space="preserve"> IF( co_models[[#This Row],[modelType]] = "gcm", SUBSTITUTE( SUBSTITUTE( co_models[[#This Row],[model_id]], " ", "." ), "-", "." ),
         VALUE( SUBSTITUTE( co_models[[#This Row],[model_id]], "p", "." ) ) * 100 &amp; "cm" )</f>
        <v>MRI.CGCM3</v>
      </c>
      <c r="F232" s="61" t="str">
        <f xml:space="preserve"> SUBSTITUTE( co_models[[#This Row],[model_dot]], ".", "_" )</f>
        <v>MRI_CGCM3</v>
      </c>
      <c r="G232" s="61" t="str">
        <f xml:space="preserve"> IF( co_models[[#This Row],[modelType]] = "gcm", co_models[[#This Row],[model_id]], SUBSTITUTE( co_models[[#This Row],[model_dot]], "cm", " cm" ) )</f>
        <v>MRI-CGCM3</v>
      </c>
    </row>
    <row r="233" spans="2:7" x14ac:dyDescent="0.3">
      <c r="B233" s="7">
        <f xml:space="preserve"> ROW( co_models[[#This Row],[row_id]] ) - ROW( co_models[[#Headers],[row_id]] )</f>
        <v>8</v>
      </c>
      <c r="C233" s="79" t="s">
        <v>1087</v>
      </c>
      <c r="D233" s="79" t="s">
        <v>819</v>
      </c>
      <c r="E233" s="60" t="str">
        <f xml:space="preserve"> IF( co_models[[#This Row],[modelType]] = "gcm", SUBSTITUTE( SUBSTITUTE( co_models[[#This Row],[model_id]], " ", "." ), "-", "." ),
         VALUE( SUBSTITUTE( co_models[[#This Row],[model_id]], "p", "." ) ) * 100 &amp; "cm" )</f>
        <v>GCM.Ensemble</v>
      </c>
      <c r="F233" s="61" t="str">
        <f xml:space="preserve"> SUBSTITUTE( co_models[[#This Row],[model_dot]], ".", "_" )</f>
        <v>GCM_Ensemble</v>
      </c>
      <c r="G233" s="61" t="str">
        <f xml:space="preserve"> IF( co_models[[#This Row],[modelType]] = "gcm", co_models[[#This Row],[model_id]], SUBSTITUTE( co_models[[#This Row],[model_dot]], "cm", " cm" ) )</f>
        <v>GCM Ensemble</v>
      </c>
    </row>
    <row r="234" spans="2:7" x14ac:dyDescent="0.3">
      <c r="B234" s="7">
        <f xml:space="preserve"> ROW( co_models[[#This Row],[row_id]] ) - ROW( co_models[[#Headers],[row_id]] )</f>
        <v>9</v>
      </c>
      <c r="C234" s="79" t="s">
        <v>948</v>
      </c>
      <c r="D234" s="79" t="s">
        <v>818</v>
      </c>
      <c r="E234" s="61" t="str">
        <f xml:space="preserve"> IF( co_models[[#This Row],[modelType]] = "gcm", SUBSTITUTE( SUBSTITUTE( co_models[[#This Row],[model_id]], " ", "." ), "-", "." ),
         VALUE( SUBSTITUTE( co_models[[#This Row],[model_id]], "p", "." ) ) * 100 &amp; "cm" )</f>
        <v>30cm</v>
      </c>
      <c r="F234" s="61" t="str">
        <f xml:space="preserve"> SUBSTITUTE( co_models[[#This Row],[model_dot]], ".", "_" )</f>
        <v>30cm</v>
      </c>
      <c r="G234" s="61" t="str">
        <f xml:space="preserve"> IF( co_models[[#This Row],[modelType]] = "gcm", co_models[[#This Row],[model_id]], SUBSTITUTE( co_models[[#This Row],[model_dot]], "cm", " cm" ) )</f>
        <v>30 cm</v>
      </c>
    </row>
    <row r="235" spans="2:7" x14ac:dyDescent="0.3">
      <c r="B235" s="7">
        <f xml:space="preserve"> ROW( co_models[[#This Row],[row_id]] ) - ROW( co_models[[#Headers],[row_id]] )</f>
        <v>10</v>
      </c>
      <c r="C235" s="79" t="s">
        <v>949</v>
      </c>
      <c r="D235" s="79" t="s">
        <v>818</v>
      </c>
      <c r="E235" s="61" t="str">
        <f xml:space="preserve"> IF( co_models[[#This Row],[modelType]] = "gcm", SUBSTITUTE( SUBSTITUTE( co_models[[#This Row],[model_id]], " ", "." ), "-", "." ),
         VALUE( SUBSTITUTE( co_models[[#This Row],[model_id]], "p", "." ) ) * 100 &amp; "cm" )</f>
        <v>50cm</v>
      </c>
      <c r="F235" s="61" t="str">
        <f xml:space="preserve"> SUBSTITUTE( co_models[[#This Row],[model_dot]], ".", "_" )</f>
        <v>50cm</v>
      </c>
      <c r="G235" s="61" t="str">
        <f xml:space="preserve"> IF( co_models[[#This Row],[modelType]] = "gcm", co_models[[#This Row],[model_id]], SUBSTITUTE( co_models[[#This Row],[model_dot]], "cm", " cm" ) )</f>
        <v>50 cm</v>
      </c>
    </row>
    <row r="236" spans="2:7" x14ac:dyDescent="0.3">
      <c r="B236" s="7">
        <f xml:space="preserve"> ROW( co_models[[#This Row],[row_id]] ) - ROW( co_models[[#Headers],[row_id]] )</f>
        <v>11</v>
      </c>
      <c r="C236" s="79" t="s">
        <v>950</v>
      </c>
      <c r="D236" s="79" t="s">
        <v>818</v>
      </c>
      <c r="E236" s="61" t="str">
        <f xml:space="preserve"> IF( co_models[[#This Row],[modelType]] = "gcm", SUBSTITUTE( SUBSTITUTE( co_models[[#This Row],[model_id]], " ", "." ), "-", "." ),
         VALUE( SUBSTITUTE( co_models[[#This Row],[model_id]], "p", "." ) ) * 100 &amp; "cm" )</f>
        <v>100cm</v>
      </c>
      <c r="F236" s="61" t="str">
        <f xml:space="preserve"> SUBSTITUTE( co_models[[#This Row],[model_dot]], ".", "_" )</f>
        <v>100cm</v>
      </c>
      <c r="G236" s="61" t="str">
        <f xml:space="preserve"> IF( co_models[[#This Row],[modelType]] = "gcm", co_models[[#This Row],[model_id]], SUBSTITUTE( co_models[[#This Row],[model_dot]], "cm", " cm" ) )</f>
        <v>100 cm</v>
      </c>
    </row>
    <row r="237" spans="2:7" x14ac:dyDescent="0.3">
      <c r="B237" s="7">
        <f xml:space="preserve"> ROW( co_models[[#This Row],[row_id]] ) - ROW( co_models[[#Headers],[row_id]] )</f>
        <v>12</v>
      </c>
      <c r="C237" s="79" t="s">
        <v>951</v>
      </c>
      <c r="D237" s="79" t="s">
        <v>818</v>
      </c>
      <c r="E237" s="61" t="str">
        <f xml:space="preserve"> IF( co_models[[#This Row],[modelType]] = "gcm", SUBSTITUTE( SUBSTITUTE( co_models[[#This Row],[model_id]], " ", "." ), "-", "." ),
         VALUE( SUBSTITUTE( co_models[[#This Row],[model_id]], "p", "." ) ) * 100 &amp; "cm" )</f>
        <v>150cm</v>
      </c>
      <c r="F237" s="61" t="str">
        <f xml:space="preserve"> SUBSTITUTE( co_models[[#This Row],[model_dot]], ".", "_" )</f>
        <v>150cm</v>
      </c>
      <c r="G237" s="61" t="str">
        <f xml:space="preserve"> IF( co_models[[#This Row],[modelType]] = "gcm", co_models[[#This Row],[model_id]], SUBSTITUTE( co_models[[#This Row],[model_dot]], "cm", " cm" ) )</f>
        <v>150 cm</v>
      </c>
    </row>
    <row r="238" spans="2:7" x14ac:dyDescent="0.3">
      <c r="B238" s="7">
        <f xml:space="preserve"> ROW( co_models[[#This Row],[row_id]] ) - ROW( co_models[[#Headers],[row_id]] )</f>
        <v>13</v>
      </c>
      <c r="C238" s="79" t="s">
        <v>952</v>
      </c>
      <c r="D238" s="79" t="s">
        <v>818</v>
      </c>
      <c r="E238" s="61" t="str">
        <f xml:space="preserve"> IF( co_models[[#This Row],[modelType]] = "gcm", SUBSTITUTE( SUBSTITUTE( co_models[[#This Row],[model_id]], " ", "." ), "-", "." ),
         VALUE( SUBSTITUTE( co_models[[#This Row],[model_id]], "p", "." ) ) * 100 &amp; "cm" )</f>
        <v>200cm</v>
      </c>
      <c r="F238" s="61" t="str">
        <f xml:space="preserve"> SUBSTITUTE( co_models[[#This Row],[model_dot]], ".", "_" )</f>
        <v>200cm</v>
      </c>
      <c r="G238" s="61" t="str">
        <f xml:space="preserve"> IF( co_models[[#This Row],[modelType]] = "gcm", co_models[[#This Row],[model_id]], SUBSTITUTE( co_models[[#This Row],[model_dot]], "cm", " cm" ) )</f>
        <v>200 cm</v>
      </c>
    </row>
    <row r="239" spans="2:7" x14ac:dyDescent="0.3">
      <c r="B239" s="7">
        <f xml:space="preserve"> ROW( co_models[[#This Row],[row_id]] ) - ROW( co_models[[#Headers],[row_id]] )</f>
        <v>14</v>
      </c>
      <c r="C239" s="79" t="s">
        <v>953</v>
      </c>
      <c r="D239" s="79" t="s">
        <v>818</v>
      </c>
      <c r="E239" s="61" t="str">
        <f xml:space="preserve"> IF( co_models[[#This Row],[modelType]] = "gcm", SUBSTITUTE( SUBSTITUTE( co_models[[#This Row],[model_id]], " ", "." ), "-", "." ),
         VALUE( SUBSTITUTE( co_models[[#This Row],[model_id]], "p", "." ) ) * 100 &amp; "cm" )</f>
        <v>250cm</v>
      </c>
      <c r="F239" s="61" t="str">
        <f xml:space="preserve"> SUBSTITUTE( co_models[[#This Row],[model_dot]], ".", "_" )</f>
        <v>250cm</v>
      </c>
      <c r="G239" s="61" t="str">
        <f xml:space="preserve"> IF( co_models[[#This Row],[modelType]] = "gcm", co_models[[#This Row],[model_id]], SUBSTITUTE( co_models[[#This Row],[model_dot]], "cm", " cm" ) )</f>
        <v>250 cm</v>
      </c>
    </row>
    <row r="242" spans="1:21" ht="14.5" x14ac:dyDescent="0.35">
      <c r="A242" s="47"/>
      <c r="B242" s="48" t="s">
        <v>233</v>
      </c>
      <c r="C242" s="48"/>
      <c r="D242" s="48"/>
      <c r="E242" s="48"/>
      <c r="F242" s="48"/>
      <c r="G242" s="48"/>
      <c r="H242" s="48"/>
      <c r="I242" s="48"/>
      <c r="J242" s="48"/>
      <c r="K242" s="48"/>
      <c r="L242" s="48"/>
      <c r="M242" s="48"/>
      <c r="N242" s="48"/>
      <c r="O242" s="48"/>
      <c r="P242" s="48"/>
      <c r="Q242" s="48"/>
      <c r="R242" s="48"/>
      <c r="S242" s="48"/>
      <c r="T242" s="48"/>
      <c r="U242" s="48"/>
    </row>
    <row r="244" spans="1:21" x14ac:dyDescent="0.3">
      <c r="B244" s="78" t="s">
        <v>780</v>
      </c>
      <c r="C244" s="60" t="s">
        <v>234</v>
      </c>
      <c r="D244" s="60" t="s">
        <v>820</v>
      </c>
      <c r="E244" s="61" t="s">
        <v>821</v>
      </c>
    </row>
    <row r="245" spans="1:21" x14ac:dyDescent="0.3">
      <c r="B245" s="7">
        <f xml:space="preserve"> ROW( co_regions[[#This Row],[row_id]] ) - ROW( co_regions[[#Headers],[row_id]] )</f>
        <v>1</v>
      </c>
      <c r="C245" s="79" t="s">
        <v>6</v>
      </c>
      <c r="D245" s="60" t="str">
        <f xml:space="preserve"> SUBSTITUTE( co_regions[[#This Row],[region_label]], " ", "." )</f>
        <v>Midwest</v>
      </c>
      <c r="E245" s="61" t="str">
        <f xml:space="preserve"> SUBSTITUTE( co_regions[[#This Row],[region_label]], " ", "_" )</f>
        <v>Midwest</v>
      </c>
    </row>
    <row r="246" spans="1:21" x14ac:dyDescent="0.3">
      <c r="B246" s="7">
        <f xml:space="preserve"> ROW( co_regions[[#This Row],[row_id]] ) - ROW( co_regions[[#Headers],[row_id]] )</f>
        <v>2</v>
      </c>
      <c r="C246" s="79" t="s">
        <v>7</v>
      </c>
      <c r="D246" s="60" t="str">
        <f xml:space="preserve"> SUBSTITUTE( co_regions[[#This Row],[region_label]], " ", "." )</f>
        <v>Northeast</v>
      </c>
      <c r="E246" s="61" t="str">
        <f xml:space="preserve"> SUBSTITUTE( co_regions[[#This Row],[region_label]], " ", "_" )</f>
        <v>Northeast</v>
      </c>
    </row>
    <row r="247" spans="1:21" x14ac:dyDescent="0.3">
      <c r="B247" s="7">
        <f xml:space="preserve"> ROW( co_regions[[#This Row],[row_id]] ) - ROW( co_regions[[#Headers],[row_id]] )</f>
        <v>3</v>
      </c>
      <c r="C247" s="79" t="s">
        <v>8</v>
      </c>
      <c r="D247" s="60" t="str">
        <f xml:space="preserve"> SUBSTITUTE( co_regions[[#This Row],[region_label]], " ", "." )</f>
        <v>Northern.Plains</v>
      </c>
      <c r="E247" s="61" t="str">
        <f xml:space="preserve"> SUBSTITUTE( co_regions[[#This Row],[region_label]], " ", "_" )</f>
        <v>Northern_Plains</v>
      </c>
    </row>
    <row r="248" spans="1:21" x14ac:dyDescent="0.3">
      <c r="B248" s="7">
        <f xml:space="preserve"> ROW( co_regions[[#This Row],[row_id]] ) - ROW( co_regions[[#Headers],[row_id]] )</f>
        <v>4</v>
      </c>
      <c r="C248" s="79" t="s">
        <v>9</v>
      </c>
      <c r="D248" s="60" t="str">
        <f xml:space="preserve"> SUBSTITUTE( co_regions[[#This Row],[region_label]], " ", "." )</f>
        <v>Northwest</v>
      </c>
      <c r="E248" s="61" t="str">
        <f xml:space="preserve"> SUBSTITUTE( co_regions[[#This Row],[region_label]], " ", "_" )</f>
        <v>Northwest</v>
      </c>
    </row>
    <row r="249" spans="1:21" x14ac:dyDescent="0.3">
      <c r="B249" s="7">
        <f xml:space="preserve"> ROW( co_regions[[#This Row],[row_id]] ) - ROW( co_regions[[#Headers],[row_id]] )</f>
        <v>5</v>
      </c>
      <c r="C249" s="79" t="s">
        <v>10</v>
      </c>
      <c r="D249" s="60" t="str">
        <f xml:space="preserve"> SUBSTITUTE( co_regions[[#This Row],[region_label]], " ", "." )</f>
        <v>Southeast</v>
      </c>
      <c r="E249" s="61" t="str">
        <f xml:space="preserve"> SUBSTITUTE( co_regions[[#This Row],[region_label]], " ", "_" )</f>
        <v>Southeast</v>
      </c>
    </row>
    <row r="250" spans="1:21" x14ac:dyDescent="0.3">
      <c r="B250" s="7">
        <f xml:space="preserve"> ROW( co_regions[[#This Row],[row_id]] ) - ROW( co_regions[[#Headers],[row_id]] )</f>
        <v>6</v>
      </c>
      <c r="C250" s="79" t="s">
        <v>11</v>
      </c>
      <c r="D250" s="60" t="str">
        <f xml:space="preserve"> SUBSTITUTE( co_regions[[#This Row],[region_label]], " ", "." )</f>
        <v>Southern.Plains</v>
      </c>
      <c r="E250" s="61" t="str">
        <f xml:space="preserve"> SUBSTITUTE( co_regions[[#This Row],[region_label]], " ", "_" )</f>
        <v>Southern_Plains</v>
      </c>
    </row>
    <row r="251" spans="1:21" x14ac:dyDescent="0.3">
      <c r="B251" s="7">
        <f xml:space="preserve"> ROW( co_regions[[#This Row],[row_id]] ) - ROW( co_regions[[#Headers],[row_id]] )</f>
        <v>7</v>
      </c>
      <c r="C251" s="79" t="s">
        <v>12</v>
      </c>
      <c r="D251" s="60" t="str">
        <f xml:space="preserve"> SUBSTITUTE( co_regions[[#This Row],[region_label]], " ", "." )</f>
        <v>Southwest</v>
      </c>
      <c r="E251" s="61" t="str">
        <f xml:space="preserve"> SUBSTITUTE( co_regions[[#This Row],[region_label]], " ", "_" )</f>
        <v>Southwest</v>
      </c>
    </row>
    <row r="254" spans="1:21" ht="14.5" x14ac:dyDescent="0.35">
      <c r="A254" s="47"/>
      <c r="B254" s="48" t="s">
        <v>1044</v>
      </c>
      <c r="C254" s="48"/>
      <c r="D254" s="48"/>
      <c r="E254" s="48"/>
      <c r="F254" s="48"/>
      <c r="G254" s="48"/>
      <c r="H254" s="48"/>
      <c r="I254" s="48"/>
      <c r="J254" s="48"/>
      <c r="K254" s="48"/>
      <c r="L254" s="48"/>
      <c r="M254" s="48"/>
      <c r="N254" s="48"/>
      <c r="O254" s="48"/>
      <c r="P254" s="48"/>
      <c r="Q254" s="48"/>
      <c r="R254" s="48"/>
      <c r="S254" s="48"/>
      <c r="T254" s="48"/>
      <c r="U254" s="48"/>
    </row>
    <row r="256" spans="1:21" x14ac:dyDescent="0.3">
      <c r="B256" s="60" t="s">
        <v>780</v>
      </c>
      <c r="C256" s="60" t="s">
        <v>1045</v>
      </c>
      <c r="D256" s="60" t="s">
        <v>1049</v>
      </c>
      <c r="E256" s="60" t="s">
        <v>1055</v>
      </c>
      <c r="F256" s="60" t="s">
        <v>1070</v>
      </c>
      <c r="G256" s="60" t="s">
        <v>1069</v>
      </c>
      <c r="H256" s="62" t="s">
        <v>1052</v>
      </c>
      <c r="I256" s="62" t="s">
        <v>1060</v>
      </c>
      <c r="J256" s="62" t="s">
        <v>1061</v>
      </c>
      <c r="K256" s="62" t="s">
        <v>1063</v>
      </c>
      <c r="L256" s="62" t="s">
        <v>218</v>
      </c>
    </row>
    <row r="257" spans="2:12" x14ac:dyDescent="0.3">
      <c r="B257" s="7">
        <f xml:space="preserve"> ROW( co_inputScenarioInfo[[#This Row],[row_id]] ) - ROW( co_inputScenarioInfo[[#Headers],[row_id]] )</f>
        <v>1</v>
      </c>
      <c r="C257" s="14" t="s">
        <v>1046</v>
      </c>
      <c r="D257" s="79" t="s">
        <v>956</v>
      </c>
      <c r="E257" s="79" t="s">
        <v>1056</v>
      </c>
      <c r="F257" s="79" t="str">
        <f xml:space="preserve"> co_inputScenarioInfo[[#This Row],[inputName]] &amp; "file"</f>
        <v>tempfile</v>
      </c>
      <c r="G257" s="79" t="str">
        <f xml:space="preserve"> co_inputScenarioInfo[[#This Row],[inputName]] &amp; "Input"</f>
        <v>tempInput</v>
      </c>
      <c r="H257" s="62" t="s">
        <v>962</v>
      </c>
      <c r="I257" s="62">
        <v>0</v>
      </c>
      <c r="J257" s="62">
        <f xml:space="preserve"> IF( ISNA( MATCH( co_inputScenarioInfo[[#This Row],[inputType]], co_modelTypes[modelUnitType], 0 ) ), "", INDEX( co_modelTypes[modelMaxExtrap], MATCH( co_inputScenarioInfo[[#This Row],[inputType]], co_modelTypes[modelUnitType], 0 ) ) )</f>
        <v>30</v>
      </c>
      <c r="K257" s="62" t="s">
        <v>1064</v>
      </c>
      <c r="L257" s="62">
        <v>0</v>
      </c>
    </row>
    <row r="258" spans="2:12" x14ac:dyDescent="0.3">
      <c r="B258" s="7">
        <f xml:space="preserve"> ROW( co_inputScenarioInfo[[#This Row],[row_id]] ) - ROW( co_inputScenarioInfo[[#Headers],[row_id]] )</f>
        <v>2</v>
      </c>
      <c r="C258" s="14" t="s">
        <v>818</v>
      </c>
      <c r="D258" s="79" t="s">
        <v>961</v>
      </c>
      <c r="E258" s="79" t="s">
        <v>1057</v>
      </c>
      <c r="F258" s="79" t="str">
        <f xml:space="preserve"> co_inputScenarioInfo[[#This Row],[inputName]] &amp; "file"</f>
        <v>slrfile</v>
      </c>
      <c r="G258" s="79" t="str">
        <f xml:space="preserve"> co_inputScenarioInfo[[#This Row],[inputName]] &amp; "Input"</f>
        <v>slrInput</v>
      </c>
      <c r="H258" s="62" t="s">
        <v>963</v>
      </c>
      <c r="I258" s="62">
        <v>0</v>
      </c>
      <c r="J258" s="62">
        <f xml:space="preserve"> IF( ISNA( MATCH( co_inputScenarioInfo[[#This Row],[inputType]], co_modelTypes[modelUnitType], 0 ) ), "", INDEX( co_modelTypes[modelMaxExtrap], MATCH( co_inputScenarioInfo[[#This Row],[inputType]], co_modelTypes[modelUnitType], 0 ) ) )</f>
        <v>1000</v>
      </c>
      <c r="K258" s="62" t="s">
        <v>1065</v>
      </c>
      <c r="L258" s="62">
        <v>0</v>
      </c>
    </row>
    <row r="259" spans="2:12" x14ac:dyDescent="0.3">
      <c r="B259" s="7">
        <f xml:space="preserve"> ROW( co_inputScenarioInfo[[#This Row],[row_id]] ) - ROW( co_inputScenarioInfo[[#Headers],[row_id]] )</f>
        <v>3</v>
      </c>
      <c r="C259" s="14" t="s">
        <v>1047</v>
      </c>
      <c r="D259" s="79" t="s">
        <v>1050</v>
      </c>
      <c r="E259" s="79" t="s">
        <v>1058</v>
      </c>
      <c r="F259" s="79" t="str">
        <f xml:space="preserve"> co_inputScenarioInfo[[#This Row],[inputName]] &amp; "file"</f>
        <v>gdpfile</v>
      </c>
      <c r="G259" s="79" t="str">
        <f xml:space="preserve"> co_inputScenarioInfo[[#This Row],[inputName]] &amp; "Input"</f>
        <v>gdpInput</v>
      </c>
      <c r="H259" s="62" t="s">
        <v>1053</v>
      </c>
      <c r="I259" s="62">
        <v>0</v>
      </c>
      <c r="J259" s="62" t="str">
        <f xml:space="preserve"> IF( ISNA( MATCH( co_inputScenarioInfo[[#This Row],[inputType]], co_modelTypes[modelUnitType], 0 ) ), "", INDEX( co_modelTypes[modelMaxExtrap], MATCH( co_inputScenarioInfo[[#This Row],[inputType]], co_modelTypes[modelUnitType], 0 ) ) )</f>
        <v/>
      </c>
      <c r="K259" s="62" t="s">
        <v>904</v>
      </c>
      <c r="L259" s="62">
        <v>0</v>
      </c>
    </row>
    <row r="260" spans="2:12" x14ac:dyDescent="0.3">
      <c r="B260" s="7">
        <f xml:space="preserve"> ROW( co_inputScenarioInfo[[#This Row],[row_id]] ) - ROW( co_inputScenarioInfo[[#Headers],[row_id]] )</f>
        <v>4</v>
      </c>
      <c r="C260" s="14" t="s">
        <v>1048</v>
      </c>
      <c r="D260" s="79" t="s">
        <v>1051</v>
      </c>
      <c r="E260" s="79" t="s">
        <v>1059</v>
      </c>
      <c r="F260" s="79" t="str">
        <f xml:space="preserve"> co_inputScenarioInfo[[#This Row],[inputName]] &amp; "file"</f>
        <v>popfile</v>
      </c>
      <c r="G260" s="79" t="str">
        <f xml:space="preserve"> co_inputScenarioInfo[[#This Row],[inputName]] &amp; "Input"</f>
        <v>popInput</v>
      </c>
      <c r="H260" s="62" t="s">
        <v>1054</v>
      </c>
      <c r="I260" s="62">
        <v>0</v>
      </c>
      <c r="J260" s="62" t="str">
        <f xml:space="preserve"> IF( ISNA( MATCH( co_inputScenarioInfo[[#This Row],[inputType]], co_modelTypes[modelUnitType], 0 ) ), "", INDEX( co_modelTypes[modelMaxExtrap], MATCH( co_inputScenarioInfo[[#This Row],[inputType]], co_modelTypes[modelUnitType], 0 ) ) )</f>
        <v/>
      </c>
      <c r="K260" s="62" t="s">
        <v>251</v>
      </c>
      <c r="L260" s="62">
        <v>1</v>
      </c>
    </row>
  </sheetData>
  <phoneticPr fontId="10" type="noConversion"/>
  <conditionalFormatting sqref="J127:K127">
    <cfRule type="expression" dxfId="268" priority="4">
      <formula xml:space="preserve"> IF( $F127 = 1, 1, 0)</formula>
    </cfRule>
  </conditionalFormatting>
  <conditionalFormatting sqref="B19:F26 B28:F42">
    <cfRule type="expression" dxfId="267" priority="6">
      <formula xml:space="preserve"> IF( $E19 = 1, 1, 0)</formula>
    </cfRule>
  </conditionalFormatting>
  <conditionalFormatting sqref="B27:F27">
    <cfRule type="expression" dxfId="266"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topLeftCell="A63" workbookViewId="0">
      <selection activeCell="F22" sqref="F22"/>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180" activePane="bottomLeft" state="frozen"/>
      <selection pane="bottomLeft" activeCell="I347" sqref="I347"/>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43"/>
  <sheetViews>
    <sheetView zoomScale="40" zoomScaleNormal="40" workbookViewId="0">
      <pane ySplit="1" topLeftCell="A2976" activePane="bottomLeft" state="frozen"/>
      <selection activeCell="T393" sqref="T393"/>
      <selection pane="bottomLeft" activeCell="R2990" sqref="R2990"/>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24.54296875" bestFit="1"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1246</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1263</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1263</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1263</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1263</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1263</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1263</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1263</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1263</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1263</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1263</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1263</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1263</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1263</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1263</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1263</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1263</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1263</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1263</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1263</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1263</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1263</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1263</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1263</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1263</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1263</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1263</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1263</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1263</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1263</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1263</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1263</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1247</v>
      </c>
      <c r="D2763" s="33" t="s">
        <v>0</v>
      </c>
      <c r="E2763" s="34">
        <v>1</v>
      </c>
      <c r="F2763" s="34"/>
      <c r="G2763" s="34" t="s">
        <v>1248</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1247</v>
      </c>
      <c r="D2764" s="33" t="s">
        <v>0</v>
      </c>
      <c r="E2764" s="34">
        <v>2</v>
      </c>
      <c r="F2764" s="34"/>
      <c r="G2764" s="34" t="s">
        <v>1248</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1247</v>
      </c>
      <c r="D2765" s="33" t="s">
        <v>0</v>
      </c>
      <c r="E2765" s="34">
        <v>3</v>
      </c>
      <c r="F2765" s="34"/>
      <c r="G2765" s="34" t="s">
        <v>1248</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1247</v>
      </c>
      <c r="D2766" s="33" t="s">
        <v>0</v>
      </c>
      <c r="E2766" s="34">
        <v>4</v>
      </c>
      <c r="F2766" s="34"/>
      <c r="G2766" s="34" t="s">
        <v>1248</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1247</v>
      </c>
      <c r="D2767" s="33" t="s">
        <v>0</v>
      </c>
      <c r="E2767" s="34">
        <v>5</v>
      </c>
      <c r="F2767" s="34"/>
      <c r="G2767" s="34" t="s">
        <v>1248</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1247</v>
      </c>
      <c r="D2768" s="33" t="s">
        <v>0</v>
      </c>
      <c r="E2768" s="34">
        <v>6</v>
      </c>
      <c r="F2768" s="34"/>
      <c r="G2768" s="34" t="s">
        <v>1248</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1247</v>
      </c>
      <c r="D2769" s="33" t="s">
        <v>1</v>
      </c>
      <c r="E2769" s="34">
        <v>1</v>
      </c>
      <c r="F2769" s="34"/>
      <c r="G2769" s="34" t="s">
        <v>1248</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1247</v>
      </c>
      <c r="D2770" s="33" t="s">
        <v>1</v>
      </c>
      <c r="E2770" s="34">
        <v>2</v>
      </c>
      <c r="F2770" s="34"/>
      <c r="G2770" s="34" t="s">
        <v>1248</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1247</v>
      </c>
      <c r="D2771" s="33" t="s">
        <v>1</v>
      </c>
      <c r="E2771" s="34">
        <v>3</v>
      </c>
      <c r="F2771" s="34"/>
      <c r="G2771" s="34" t="s">
        <v>1248</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1247</v>
      </c>
      <c r="D2772" s="33" t="s">
        <v>1</v>
      </c>
      <c r="E2772" s="34">
        <v>4</v>
      </c>
      <c r="F2772" s="34"/>
      <c r="G2772" s="34" t="s">
        <v>1248</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1247</v>
      </c>
      <c r="D2773" s="33" t="s">
        <v>1</v>
      </c>
      <c r="E2773" s="34">
        <v>5</v>
      </c>
      <c r="F2773" s="34"/>
      <c r="G2773" s="34" t="s">
        <v>1248</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1247</v>
      </c>
      <c r="D2774" s="33" t="s">
        <v>1</v>
      </c>
      <c r="E2774" s="34">
        <v>6</v>
      </c>
      <c r="F2774" s="34"/>
      <c r="G2774" s="34" t="s">
        <v>1248</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1247</v>
      </c>
      <c r="D2775" s="33" t="s">
        <v>2</v>
      </c>
      <c r="E2775" s="34">
        <v>1</v>
      </c>
      <c r="F2775" s="34"/>
      <c r="G2775" s="34" t="s">
        <v>1248</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1247</v>
      </c>
      <c r="D2776" s="33" t="s">
        <v>2</v>
      </c>
      <c r="E2776" s="34">
        <v>2</v>
      </c>
      <c r="F2776" s="34"/>
      <c r="G2776" s="34" t="s">
        <v>1248</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1247</v>
      </c>
      <c r="D2777" s="33" t="s">
        <v>2</v>
      </c>
      <c r="E2777" s="34">
        <v>3</v>
      </c>
      <c r="F2777" s="34"/>
      <c r="G2777" s="34" t="s">
        <v>1248</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1247</v>
      </c>
      <c r="D2778" s="33" t="s">
        <v>2</v>
      </c>
      <c r="E2778" s="34">
        <v>4</v>
      </c>
      <c r="F2778" s="34"/>
      <c r="G2778" s="34" t="s">
        <v>1248</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1247</v>
      </c>
      <c r="D2779" s="33" t="s">
        <v>2</v>
      </c>
      <c r="E2779" s="34">
        <v>5</v>
      </c>
      <c r="F2779" s="34"/>
      <c r="G2779" s="34" t="s">
        <v>1248</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1247</v>
      </c>
      <c r="D2780" s="33" t="s">
        <v>2</v>
      </c>
      <c r="E2780" s="34">
        <v>6</v>
      </c>
      <c r="F2780" s="34"/>
      <c r="G2780" s="34" t="s">
        <v>1248</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1247</v>
      </c>
      <c r="D2781" s="33" t="s">
        <v>3</v>
      </c>
      <c r="E2781" s="34">
        <v>1</v>
      </c>
      <c r="F2781" s="34"/>
      <c r="G2781" s="34" t="s">
        <v>1248</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1247</v>
      </c>
      <c r="D2782" s="33" t="s">
        <v>3</v>
      </c>
      <c r="E2782" s="34">
        <v>2</v>
      </c>
      <c r="F2782" s="34"/>
      <c r="G2782" s="34" t="s">
        <v>1248</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1247</v>
      </c>
      <c r="D2783" s="33" t="s">
        <v>3</v>
      </c>
      <c r="E2783" s="34">
        <v>3</v>
      </c>
      <c r="F2783" s="34"/>
      <c r="G2783" s="34" t="s">
        <v>1248</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1247</v>
      </c>
      <c r="D2784" s="33" t="s">
        <v>3</v>
      </c>
      <c r="E2784" s="34">
        <v>4</v>
      </c>
      <c r="F2784" s="34"/>
      <c r="G2784" s="34" t="s">
        <v>1248</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1247</v>
      </c>
      <c r="D2785" s="33" t="s">
        <v>3</v>
      </c>
      <c r="E2785" s="34">
        <v>5</v>
      </c>
      <c r="F2785" s="34"/>
      <c r="G2785" s="34" t="s">
        <v>1248</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1247</v>
      </c>
      <c r="D2786" s="33" t="s">
        <v>3</v>
      </c>
      <c r="E2786" s="34">
        <v>6</v>
      </c>
      <c r="F2786" s="34"/>
      <c r="G2786" s="34" t="s">
        <v>1248</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1247</v>
      </c>
      <c r="D2787" s="33" t="s">
        <v>4</v>
      </c>
      <c r="E2787" s="34">
        <v>1</v>
      </c>
      <c r="F2787" s="34"/>
      <c r="G2787" s="34" t="s">
        <v>1248</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1247</v>
      </c>
      <c r="D2788" s="33" t="s">
        <v>4</v>
      </c>
      <c r="E2788" s="34">
        <v>2</v>
      </c>
      <c r="F2788" s="34"/>
      <c r="G2788" s="34" t="s">
        <v>1248</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1247</v>
      </c>
      <c r="D2789" s="33" t="s">
        <v>4</v>
      </c>
      <c r="E2789" s="34">
        <v>3</v>
      </c>
      <c r="F2789" s="34"/>
      <c r="G2789" s="34" t="s">
        <v>1248</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1247</v>
      </c>
      <c r="D2790" s="33" t="s">
        <v>4</v>
      </c>
      <c r="E2790" s="34">
        <v>4</v>
      </c>
      <c r="F2790" s="34"/>
      <c r="G2790" s="34" t="s">
        <v>1248</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1247</v>
      </c>
      <c r="D2791" s="33" t="s">
        <v>4</v>
      </c>
      <c r="E2791" s="34">
        <v>5</v>
      </c>
      <c r="F2791" s="34"/>
      <c r="G2791" s="34" t="s">
        <v>1248</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1247</v>
      </c>
      <c r="D2792" s="33" t="s">
        <v>4</v>
      </c>
      <c r="E2792" s="34">
        <v>6</v>
      </c>
      <c r="F2792" s="34"/>
      <c r="G2792" s="34" t="s">
        <v>1248</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1247</v>
      </c>
      <c r="D2793" s="33" t="s">
        <v>5</v>
      </c>
      <c r="E2793" s="34">
        <v>1</v>
      </c>
      <c r="F2793" s="34"/>
      <c r="G2793" s="34" t="s">
        <v>1248</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1247</v>
      </c>
      <c r="D2794" s="33" t="s">
        <v>5</v>
      </c>
      <c r="E2794" s="34">
        <v>2</v>
      </c>
      <c r="F2794" s="34"/>
      <c r="G2794" s="34" t="s">
        <v>1248</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1247</v>
      </c>
      <c r="D2795" s="33" t="s">
        <v>5</v>
      </c>
      <c r="E2795" s="34">
        <v>3</v>
      </c>
      <c r="F2795" s="34"/>
      <c r="G2795" s="34" t="s">
        <v>1248</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1247</v>
      </c>
      <c r="D2796" s="33" t="s">
        <v>5</v>
      </c>
      <c r="E2796" s="34">
        <v>4</v>
      </c>
      <c r="F2796" s="34"/>
      <c r="G2796" s="34" t="s">
        <v>1248</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1247</v>
      </c>
      <c r="D2797" s="33" t="s">
        <v>5</v>
      </c>
      <c r="E2797" s="34">
        <v>5</v>
      </c>
      <c r="F2797" s="34"/>
      <c r="G2797" s="34" t="s">
        <v>1248</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1247</v>
      </c>
      <c r="D2798" s="33" t="s">
        <v>5</v>
      </c>
      <c r="E2798" s="34">
        <v>6</v>
      </c>
      <c r="F2798" s="34"/>
      <c r="G2798" s="34" t="s">
        <v>1248</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1247</v>
      </c>
      <c r="D2799" s="33" t="s">
        <v>1249</v>
      </c>
      <c r="E2799" s="34">
        <v>1</v>
      </c>
      <c r="F2799" s="34"/>
      <c r="G2799" s="34" t="s">
        <v>1248</v>
      </c>
      <c r="H2799" s="35"/>
      <c r="I2799" s="43" t="s">
        <v>1250</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1247</v>
      </c>
      <c r="D2800" s="33" t="s">
        <v>1249</v>
      </c>
      <c r="E2800" s="34">
        <v>2</v>
      </c>
      <c r="F2800" s="34"/>
      <c r="G2800" s="34" t="s">
        <v>1248</v>
      </c>
      <c r="H2800" s="35"/>
      <c r="I2800" s="43" t="s">
        <v>1251</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1247</v>
      </c>
      <c r="D2801" s="33" t="s">
        <v>1249</v>
      </c>
      <c r="E2801" s="34">
        <v>3</v>
      </c>
      <c r="F2801" s="34"/>
      <c r="G2801" s="34" t="s">
        <v>1248</v>
      </c>
      <c r="H2801" s="35"/>
      <c r="I2801" s="43" t="s">
        <v>1252</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1247</v>
      </c>
      <c r="D2802" s="33" t="s">
        <v>1249</v>
      </c>
      <c r="E2802" s="34">
        <v>4</v>
      </c>
      <c r="F2802" s="34"/>
      <c r="G2802" s="34" t="s">
        <v>1248</v>
      </c>
      <c r="H2802" s="35"/>
      <c r="I2802" s="43" t="s">
        <v>1253</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1247</v>
      </c>
      <c r="D2803" s="33" t="s">
        <v>1249</v>
      </c>
      <c r="E2803" s="34">
        <v>5</v>
      </c>
      <c r="F2803" s="34"/>
      <c r="G2803" s="34" t="s">
        <v>1248</v>
      </c>
      <c r="H2803" s="35"/>
      <c r="I2803" s="43" t="s">
        <v>1254</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1247</v>
      </c>
      <c r="D2804" s="33" t="s">
        <v>1249</v>
      </c>
      <c r="E2804" s="34">
        <v>6</v>
      </c>
      <c r="F2804" s="34"/>
      <c r="G2804" s="34" t="s">
        <v>1248</v>
      </c>
      <c r="H2804" s="35"/>
      <c r="I2804" s="43" t="s">
        <v>1255</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1247</v>
      </c>
      <c r="D2805" s="33" t="s">
        <v>0</v>
      </c>
      <c r="E2805" s="34">
        <v>1</v>
      </c>
      <c r="F2805" s="34"/>
      <c r="G2805" s="34" t="s">
        <v>1256</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1247</v>
      </c>
      <c r="D2806" s="33" t="s">
        <v>0</v>
      </c>
      <c r="E2806" s="34">
        <v>2</v>
      </c>
      <c r="F2806" s="34"/>
      <c r="G2806" s="34" t="s">
        <v>1256</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1247</v>
      </c>
      <c r="D2807" s="33" t="s">
        <v>0</v>
      </c>
      <c r="E2807" s="34">
        <v>3</v>
      </c>
      <c r="F2807" s="34"/>
      <c r="G2807" s="34" t="s">
        <v>1256</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1247</v>
      </c>
      <c r="D2808" s="33" t="s">
        <v>0</v>
      </c>
      <c r="E2808" s="34">
        <v>4</v>
      </c>
      <c r="F2808" s="34"/>
      <c r="G2808" s="34" t="s">
        <v>1256</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1247</v>
      </c>
      <c r="D2809" s="33" t="s">
        <v>0</v>
      </c>
      <c r="E2809" s="34">
        <v>5</v>
      </c>
      <c r="F2809" s="34"/>
      <c r="G2809" s="34" t="s">
        <v>1256</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1247</v>
      </c>
      <c r="D2810" s="33" t="s">
        <v>0</v>
      </c>
      <c r="E2810" s="34">
        <v>6</v>
      </c>
      <c r="F2810" s="34"/>
      <c r="G2810" s="34" t="s">
        <v>1256</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1247</v>
      </c>
      <c r="D2811" s="33" t="s">
        <v>1</v>
      </c>
      <c r="E2811" s="34">
        <v>1</v>
      </c>
      <c r="F2811" s="34"/>
      <c r="G2811" s="34" t="s">
        <v>1256</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1247</v>
      </c>
      <c r="D2812" s="33" t="s">
        <v>1</v>
      </c>
      <c r="E2812" s="34">
        <v>2</v>
      </c>
      <c r="F2812" s="34"/>
      <c r="G2812" s="34" t="s">
        <v>1256</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1247</v>
      </c>
      <c r="D2813" s="33" t="s">
        <v>1</v>
      </c>
      <c r="E2813" s="34">
        <v>3</v>
      </c>
      <c r="F2813" s="34"/>
      <c r="G2813" s="34" t="s">
        <v>1256</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1247</v>
      </c>
      <c r="D2814" s="33" t="s">
        <v>1</v>
      </c>
      <c r="E2814" s="34">
        <v>4</v>
      </c>
      <c r="F2814" s="34"/>
      <c r="G2814" s="34" t="s">
        <v>1256</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1247</v>
      </c>
      <c r="D2815" s="33" t="s">
        <v>1</v>
      </c>
      <c r="E2815" s="34">
        <v>5</v>
      </c>
      <c r="F2815" s="34"/>
      <c r="G2815" s="34" t="s">
        <v>1256</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1247</v>
      </c>
      <c r="D2816" s="33" t="s">
        <v>1</v>
      </c>
      <c r="E2816" s="34">
        <v>6</v>
      </c>
      <c r="F2816" s="34"/>
      <c r="G2816" s="34" t="s">
        <v>1256</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1247</v>
      </c>
      <c r="D2817" s="33" t="s">
        <v>2</v>
      </c>
      <c r="E2817" s="34">
        <v>1</v>
      </c>
      <c r="F2817" s="34"/>
      <c r="G2817" s="34" t="s">
        <v>1256</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1247</v>
      </c>
      <c r="D2818" s="33" t="s">
        <v>2</v>
      </c>
      <c r="E2818" s="34">
        <v>2</v>
      </c>
      <c r="F2818" s="34"/>
      <c r="G2818" s="34" t="s">
        <v>1256</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1247</v>
      </c>
      <c r="D2819" s="33" t="s">
        <v>2</v>
      </c>
      <c r="E2819" s="34">
        <v>3</v>
      </c>
      <c r="F2819" s="34"/>
      <c r="G2819" s="34" t="s">
        <v>1256</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1247</v>
      </c>
      <c r="D2820" s="33" t="s">
        <v>2</v>
      </c>
      <c r="E2820" s="34">
        <v>4</v>
      </c>
      <c r="F2820" s="34"/>
      <c r="G2820" s="34" t="s">
        <v>1256</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1247</v>
      </c>
      <c r="D2821" s="33" t="s">
        <v>2</v>
      </c>
      <c r="E2821" s="34">
        <v>5</v>
      </c>
      <c r="F2821" s="34"/>
      <c r="G2821" s="34" t="s">
        <v>1256</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1247</v>
      </c>
      <c r="D2822" s="33" t="s">
        <v>2</v>
      </c>
      <c r="E2822" s="34">
        <v>6</v>
      </c>
      <c r="F2822" s="34"/>
      <c r="G2822" s="34" t="s">
        <v>1256</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1247</v>
      </c>
      <c r="D2823" s="33" t="s">
        <v>3</v>
      </c>
      <c r="E2823" s="34">
        <v>1</v>
      </c>
      <c r="F2823" s="34"/>
      <c r="G2823" s="34" t="s">
        <v>1256</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1247</v>
      </c>
      <c r="D2824" s="33" t="s">
        <v>3</v>
      </c>
      <c r="E2824" s="34">
        <v>2</v>
      </c>
      <c r="F2824" s="34"/>
      <c r="G2824" s="34" t="s">
        <v>1256</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1247</v>
      </c>
      <c r="D2825" s="33" t="s">
        <v>3</v>
      </c>
      <c r="E2825" s="34">
        <v>3</v>
      </c>
      <c r="F2825" s="34"/>
      <c r="G2825" s="34" t="s">
        <v>1256</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1247</v>
      </c>
      <c r="D2826" s="33" t="s">
        <v>3</v>
      </c>
      <c r="E2826" s="34">
        <v>4</v>
      </c>
      <c r="F2826" s="34"/>
      <c r="G2826" s="34" t="s">
        <v>1256</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1247</v>
      </c>
      <c r="D2827" s="33" t="s">
        <v>3</v>
      </c>
      <c r="E2827" s="34">
        <v>5</v>
      </c>
      <c r="F2827" s="34"/>
      <c r="G2827" s="34" t="s">
        <v>1256</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1247</v>
      </c>
      <c r="D2828" s="33" t="s">
        <v>3</v>
      </c>
      <c r="E2828" s="34">
        <v>6</v>
      </c>
      <c r="F2828" s="34"/>
      <c r="G2828" s="34" t="s">
        <v>1256</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1247</v>
      </c>
      <c r="D2829" s="33" t="s">
        <v>4</v>
      </c>
      <c r="E2829" s="34">
        <v>1</v>
      </c>
      <c r="F2829" s="34"/>
      <c r="G2829" s="34" t="s">
        <v>1256</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1247</v>
      </c>
      <c r="D2830" s="33" t="s">
        <v>4</v>
      </c>
      <c r="E2830" s="34">
        <v>2</v>
      </c>
      <c r="F2830" s="34"/>
      <c r="G2830" s="34" t="s">
        <v>1256</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1247</v>
      </c>
      <c r="D2831" s="33" t="s">
        <v>4</v>
      </c>
      <c r="E2831" s="34">
        <v>3</v>
      </c>
      <c r="F2831" s="34"/>
      <c r="G2831" s="34" t="s">
        <v>1256</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1247</v>
      </c>
      <c r="D2832" s="33" t="s">
        <v>4</v>
      </c>
      <c r="E2832" s="34">
        <v>4</v>
      </c>
      <c r="F2832" s="34"/>
      <c r="G2832" s="34" t="s">
        <v>1256</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1247</v>
      </c>
      <c r="D2833" s="33" t="s">
        <v>4</v>
      </c>
      <c r="E2833" s="34">
        <v>5</v>
      </c>
      <c r="F2833" s="34"/>
      <c r="G2833" s="34" t="s">
        <v>1256</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1247</v>
      </c>
      <c r="D2834" s="33" t="s">
        <v>4</v>
      </c>
      <c r="E2834" s="34">
        <v>6</v>
      </c>
      <c r="F2834" s="34"/>
      <c r="G2834" s="34" t="s">
        <v>1256</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1247</v>
      </c>
      <c r="D2835" s="33" t="s">
        <v>5</v>
      </c>
      <c r="E2835" s="34">
        <v>1</v>
      </c>
      <c r="F2835" s="34"/>
      <c r="G2835" s="34" t="s">
        <v>1256</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1247</v>
      </c>
      <c r="D2836" s="33" t="s">
        <v>5</v>
      </c>
      <c r="E2836" s="34">
        <v>2</v>
      </c>
      <c r="F2836" s="34"/>
      <c r="G2836" s="34" t="s">
        <v>1256</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1247</v>
      </c>
      <c r="D2837" s="33" t="s">
        <v>5</v>
      </c>
      <c r="E2837" s="34">
        <v>3</v>
      </c>
      <c r="F2837" s="34"/>
      <c r="G2837" s="34" t="s">
        <v>1256</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1247</v>
      </c>
      <c r="D2838" s="33" t="s">
        <v>5</v>
      </c>
      <c r="E2838" s="34">
        <v>4</v>
      </c>
      <c r="F2838" s="34"/>
      <c r="G2838" s="34" t="s">
        <v>1256</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1247</v>
      </c>
      <c r="D2839" s="33" t="s">
        <v>5</v>
      </c>
      <c r="E2839" s="34">
        <v>5</v>
      </c>
      <c r="F2839" s="34"/>
      <c r="G2839" s="34" t="s">
        <v>1256</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1247</v>
      </c>
      <c r="D2840" s="33" t="s">
        <v>5</v>
      </c>
      <c r="E2840" s="34">
        <v>6</v>
      </c>
      <c r="F2840" s="34"/>
      <c r="G2840" s="34" t="s">
        <v>1256</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1247</v>
      </c>
      <c r="D2841" s="33" t="s">
        <v>1249</v>
      </c>
      <c r="E2841" s="34">
        <v>1</v>
      </c>
      <c r="F2841" s="34"/>
      <c r="G2841" s="34" t="s">
        <v>1256</v>
      </c>
      <c r="H2841" s="35"/>
      <c r="I2841" s="43" t="s">
        <v>1250</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1247</v>
      </c>
      <c r="D2842" s="33" t="s">
        <v>1249</v>
      </c>
      <c r="E2842" s="34">
        <v>2</v>
      </c>
      <c r="F2842" s="34"/>
      <c r="G2842" s="34" t="s">
        <v>1256</v>
      </c>
      <c r="H2842" s="35"/>
      <c r="I2842" s="43" t="s">
        <v>1251</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1247</v>
      </c>
      <c r="D2843" s="33" t="s">
        <v>1249</v>
      </c>
      <c r="E2843" s="34">
        <v>3</v>
      </c>
      <c r="F2843" s="34"/>
      <c r="G2843" s="34" t="s">
        <v>1256</v>
      </c>
      <c r="H2843" s="35"/>
      <c r="I2843" s="43" t="s">
        <v>1252</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1247</v>
      </c>
      <c r="D2844" s="33" t="s">
        <v>1249</v>
      </c>
      <c r="E2844" s="34">
        <v>4</v>
      </c>
      <c r="F2844" s="34"/>
      <c r="G2844" s="34" t="s">
        <v>1256</v>
      </c>
      <c r="H2844" s="35"/>
      <c r="I2844" s="43" t="s">
        <v>1253</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1247</v>
      </c>
      <c r="D2845" s="33" t="s">
        <v>1249</v>
      </c>
      <c r="E2845" s="34">
        <v>5</v>
      </c>
      <c r="F2845" s="34"/>
      <c r="G2845" s="34" t="s">
        <v>1256</v>
      </c>
      <c r="H2845" s="35"/>
      <c r="I2845" s="43" t="s">
        <v>1254</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1247</v>
      </c>
      <c r="D2846" s="33" t="s">
        <v>1249</v>
      </c>
      <c r="E2846" s="34">
        <v>6</v>
      </c>
      <c r="F2846" s="34"/>
      <c r="G2846" s="34" t="s">
        <v>1256</v>
      </c>
      <c r="H2846" s="35"/>
      <c r="I2846" s="43" t="s">
        <v>1255</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1247</v>
      </c>
      <c r="D2847" s="33" t="s">
        <v>0</v>
      </c>
      <c r="E2847" s="34">
        <v>1</v>
      </c>
      <c r="F2847" s="34"/>
      <c r="G2847" s="34" t="s">
        <v>1257</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1247</v>
      </c>
      <c r="D2848" s="33" t="s">
        <v>0</v>
      </c>
      <c r="E2848" s="34">
        <v>2</v>
      </c>
      <c r="F2848" s="34"/>
      <c r="G2848" s="34" t="s">
        <v>1257</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1247</v>
      </c>
      <c r="D2849" s="33" t="s">
        <v>0</v>
      </c>
      <c r="E2849" s="34">
        <v>3</v>
      </c>
      <c r="F2849" s="34"/>
      <c r="G2849" s="34" t="s">
        <v>1257</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1247</v>
      </c>
      <c r="D2850" s="33" t="s">
        <v>0</v>
      </c>
      <c r="E2850" s="34">
        <v>4</v>
      </c>
      <c r="F2850" s="34"/>
      <c r="G2850" s="34" t="s">
        <v>1257</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1247</v>
      </c>
      <c r="D2851" s="33" t="s">
        <v>0</v>
      </c>
      <c r="E2851" s="34">
        <v>5</v>
      </c>
      <c r="F2851" s="34"/>
      <c r="G2851" s="34" t="s">
        <v>1257</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1247</v>
      </c>
      <c r="D2852" s="33" t="s">
        <v>0</v>
      </c>
      <c r="E2852" s="34">
        <v>6</v>
      </c>
      <c r="F2852" s="34"/>
      <c r="G2852" s="34" t="s">
        <v>1257</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1247</v>
      </c>
      <c r="D2853" s="33" t="s">
        <v>1</v>
      </c>
      <c r="E2853" s="34">
        <v>1</v>
      </c>
      <c r="F2853" s="34"/>
      <c r="G2853" s="34" t="s">
        <v>1257</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1247</v>
      </c>
      <c r="D2854" s="33" t="s">
        <v>1</v>
      </c>
      <c r="E2854" s="34">
        <v>2</v>
      </c>
      <c r="F2854" s="34"/>
      <c r="G2854" s="34" t="s">
        <v>1257</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1247</v>
      </c>
      <c r="D2855" s="33" t="s">
        <v>1</v>
      </c>
      <c r="E2855" s="34">
        <v>3</v>
      </c>
      <c r="F2855" s="34"/>
      <c r="G2855" s="34" t="s">
        <v>1257</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1247</v>
      </c>
      <c r="D2856" s="33" t="s">
        <v>1</v>
      </c>
      <c r="E2856" s="34">
        <v>4</v>
      </c>
      <c r="F2856" s="34"/>
      <c r="G2856" s="34" t="s">
        <v>1257</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1247</v>
      </c>
      <c r="D2857" s="33" t="s">
        <v>1</v>
      </c>
      <c r="E2857" s="34">
        <v>5</v>
      </c>
      <c r="F2857" s="34"/>
      <c r="G2857" s="34" t="s">
        <v>1257</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1247</v>
      </c>
      <c r="D2858" s="33" t="s">
        <v>1</v>
      </c>
      <c r="E2858" s="34">
        <v>6</v>
      </c>
      <c r="F2858" s="34"/>
      <c r="G2858" s="34" t="s">
        <v>1257</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1247</v>
      </c>
      <c r="D2859" s="33" t="s">
        <v>2</v>
      </c>
      <c r="E2859" s="34">
        <v>1</v>
      </c>
      <c r="F2859" s="34"/>
      <c r="G2859" s="34" t="s">
        <v>1257</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1247</v>
      </c>
      <c r="D2860" s="33" t="s">
        <v>2</v>
      </c>
      <c r="E2860" s="34">
        <v>2</v>
      </c>
      <c r="F2860" s="34"/>
      <c r="G2860" s="34" t="s">
        <v>1257</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1247</v>
      </c>
      <c r="D2861" s="33" t="s">
        <v>2</v>
      </c>
      <c r="E2861" s="34">
        <v>3</v>
      </c>
      <c r="F2861" s="34"/>
      <c r="G2861" s="34" t="s">
        <v>1257</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1247</v>
      </c>
      <c r="D2862" s="33" t="s">
        <v>2</v>
      </c>
      <c r="E2862" s="34">
        <v>4</v>
      </c>
      <c r="F2862" s="34"/>
      <c r="G2862" s="34" t="s">
        <v>1257</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1247</v>
      </c>
      <c r="D2863" s="33" t="s">
        <v>2</v>
      </c>
      <c r="E2863" s="34">
        <v>5</v>
      </c>
      <c r="F2863" s="34"/>
      <c r="G2863" s="34" t="s">
        <v>1257</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1247</v>
      </c>
      <c r="D2864" s="33" t="s">
        <v>2</v>
      </c>
      <c r="E2864" s="34">
        <v>6</v>
      </c>
      <c r="F2864" s="34"/>
      <c r="G2864" s="34" t="s">
        <v>1257</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1247</v>
      </c>
      <c r="D2865" s="33" t="s">
        <v>3</v>
      </c>
      <c r="E2865" s="34">
        <v>1</v>
      </c>
      <c r="F2865" s="34"/>
      <c r="G2865" s="34" t="s">
        <v>1257</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1247</v>
      </c>
      <c r="D2866" s="33" t="s">
        <v>3</v>
      </c>
      <c r="E2866" s="34">
        <v>2</v>
      </c>
      <c r="F2866" s="34"/>
      <c r="G2866" s="34" t="s">
        <v>1257</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1247</v>
      </c>
      <c r="D2867" s="33" t="s">
        <v>3</v>
      </c>
      <c r="E2867" s="34">
        <v>3</v>
      </c>
      <c r="F2867" s="34"/>
      <c r="G2867" s="34" t="s">
        <v>1257</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1247</v>
      </c>
      <c r="D2868" s="33" t="s">
        <v>3</v>
      </c>
      <c r="E2868" s="34">
        <v>4</v>
      </c>
      <c r="F2868" s="34"/>
      <c r="G2868" s="34" t="s">
        <v>1257</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1247</v>
      </c>
      <c r="D2869" s="33" t="s">
        <v>3</v>
      </c>
      <c r="E2869" s="34">
        <v>5</v>
      </c>
      <c r="F2869" s="34"/>
      <c r="G2869" s="34" t="s">
        <v>1257</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1247</v>
      </c>
      <c r="D2870" s="33" t="s">
        <v>3</v>
      </c>
      <c r="E2870" s="34">
        <v>6</v>
      </c>
      <c r="F2870" s="34"/>
      <c r="G2870" s="34" t="s">
        <v>1257</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1247</v>
      </c>
      <c r="D2871" s="33" t="s">
        <v>4</v>
      </c>
      <c r="E2871" s="34">
        <v>1</v>
      </c>
      <c r="F2871" s="34"/>
      <c r="G2871" s="34" t="s">
        <v>1257</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1247</v>
      </c>
      <c r="D2872" s="33" t="s">
        <v>4</v>
      </c>
      <c r="E2872" s="34">
        <v>2</v>
      </c>
      <c r="F2872" s="34"/>
      <c r="G2872" s="34" t="s">
        <v>1257</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1247</v>
      </c>
      <c r="D2873" s="33" t="s">
        <v>4</v>
      </c>
      <c r="E2873" s="34">
        <v>3</v>
      </c>
      <c r="F2873" s="34"/>
      <c r="G2873" s="34" t="s">
        <v>1257</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1247</v>
      </c>
      <c r="D2874" s="33" t="s">
        <v>4</v>
      </c>
      <c r="E2874" s="34">
        <v>4</v>
      </c>
      <c r="F2874" s="34"/>
      <c r="G2874" s="34" t="s">
        <v>1257</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1247</v>
      </c>
      <c r="D2875" s="33" t="s">
        <v>4</v>
      </c>
      <c r="E2875" s="34">
        <v>5</v>
      </c>
      <c r="F2875" s="34"/>
      <c r="G2875" s="34" t="s">
        <v>1257</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1247</v>
      </c>
      <c r="D2876" s="33" t="s">
        <v>4</v>
      </c>
      <c r="E2876" s="34">
        <v>6</v>
      </c>
      <c r="F2876" s="34"/>
      <c r="G2876" s="34" t="s">
        <v>1257</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1247</v>
      </c>
      <c r="D2877" s="33" t="s">
        <v>5</v>
      </c>
      <c r="E2877" s="34">
        <v>1</v>
      </c>
      <c r="F2877" s="34"/>
      <c r="G2877" s="34" t="s">
        <v>1257</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1247</v>
      </c>
      <c r="D2878" s="33" t="s">
        <v>5</v>
      </c>
      <c r="E2878" s="34">
        <v>2</v>
      </c>
      <c r="F2878" s="34"/>
      <c r="G2878" s="34" t="s">
        <v>1257</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1247</v>
      </c>
      <c r="D2879" s="33" t="s">
        <v>5</v>
      </c>
      <c r="E2879" s="34">
        <v>3</v>
      </c>
      <c r="F2879" s="34"/>
      <c r="G2879" s="34" t="s">
        <v>1257</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1247</v>
      </c>
      <c r="D2880" s="33" t="s">
        <v>5</v>
      </c>
      <c r="E2880" s="34">
        <v>4</v>
      </c>
      <c r="F2880" s="34"/>
      <c r="G2880" s="34" t="s">
        <v>1257</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1247</v>
      </c>
      <c r="D2881" s="33" t="s">
        <v>5</v>
      </c>
      <c r="E2881" s="34">
        <v>5</v>
      </c>
      <c r="F2881" s="34"/>
      <c r="G2881" s="34" t="s">
        <v>1257</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1247</v>
      </c>
      <c r="D2882" s="33" t="s">
        <v>5</v>
      </c>
      <c r="E2882" s="34">
        <v>6</v>
      </c>
      <c r="F2882" s="34"/>
      <c r="G2882" s="34" t="s">
        <v>1257</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1247</v>
      </c>
      <c r="D2883" s="33" t="s">
        <v>1249</v>
      </c>
      <c r="E2883" s="34">
        <v>1</v>
      </c>
      <c r="F2883" s="34"/>
      <c r="G2883" s="34" t="s">
        <v>1257</v>
      </c>
      <c r="H2883" s="35"/>
      <c r="I2883" s="43" t="s">
        <v>1250</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1247</v>
      </c>
      <c r="D2884" s="33" t="s">
        <v>1249</v>
      </c>
      <c r="E2884" s="34">
        <v>2</v>
      </c>
      <c r="F2884" s="34"/>
      <c r="G2884" s="34" t="s">
        <v>1257</v>
      </c>
      <c r="H2884" s="35"/>
      <c r="I2884" s="43" t="s">
        <v>1251</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1247</v>
      </c>
      <c r="D2885" s="33" t="s">
        <v>1249</v>
      </c>
      <c r="E2885" s="34">
        <v>3</v>
      </c>
      <c r="F2885" s="34"/>
      <c r="G2885" s="34" t="s">
        <v>1257</v>
      </c>
      <c r="H2885" s="35"/>
      <c r="I2885" s="43" t="s">
        <v>1252</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1247</v>
      </c>
      <c r="D2886" s="33" t="s">
        <v>1249</v>
      </c>
      <c r="E2886" s="34">
        <v>4</v>
      </c>
      <c r="F2886" s="34"/>
      <c r="G2886" s="34" t="s">
        <v>1257</v>
      </c>
      <c r="H2886" s="35"/>
      <c r="I2886" s="43" t="s">
        <v>1253</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1247</v>
      </c>
      <c r="D2887" s="33" t="s">
        <v>1249</v>
      </c>
      <c r="E2887" s="34">
        <v>5</v>
      </c>
      <c r="F2887" s="34"/>
      <c r="G2887" s="34" t="s">
        <v>1257</v>
      </c>
      <c r="H2887" s="35"/>
      <c r="I2887" s="43" t="s">
        <v>1254</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1247</v>
      </c>
      <c r="D2888" s="33" t="s">
        <v>1249</v>
      </c>
      <c r="E2888" s="34">
        <v>6</v>
      </c>
      <c r="F2888" s="34"/>
      <c r="G2888" s="34" t="s">
        <v>1257</v>
      </c>
      <c r="H2888" s="35"/>
      <c r="I2888" s="43" t="s">
        <v>1255</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1256</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1256</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1256</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1256</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1256</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1256</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1256</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1256</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1256</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1256</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1256</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1256</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1256</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1256</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1256</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1256</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1256</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1256</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1256</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1256</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1256</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1256</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1256</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1256</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1256</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1256</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1256</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1256</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1256</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1256</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1256</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1257</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1257</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1257</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1257</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1257</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1257</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1257</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1257</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1257</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1257</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1257</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1257</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1257</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1257</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1257</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1257</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1257</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1257</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1257</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1257</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1257</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1257</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1257</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1257</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1257</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1257</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1257</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1257</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1257</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1257</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1257</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t="s">
        <v>1303</v>
      </c>
      <c r="D2951" t="s">
        <v>0</v>
      </c>
      <c r="E2951">
        <v>1</v>
      </c>
      <c r="F2951" t="s">
        <v>1309</v>
      </c>
      <c r="G2951" t="s">
        <v>201</v>
      </c>
      <c r="H2951" t="s">
        <v>1304</v>
      </c>
      <c r="I2951" s="43"/>
      <c r="K2951">
        <v>3.9091118000000001E-2</v>
      </c>
      <c r="M2951">
        <v>-4.0298340000000002E-2</v>
      </c>
      <c r="N2951">
        <v>-3.6005592000000003E-2</v>
      </c>
      <c r="O2951">
        <v>-4.3492543000000002E-2</v>
      </c>
      <c r="P2951">
        <v>-4.9220430000000001E-3</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t="s">
        <v>1303</v>
      </c>
      <c r="D2952" t="s">
        <v>0</v>
      </c>
      <c r="E2952">
        <v>2</v>
      </c>
      <c r="F2952" t="s">
        <v>1309</v>
      </c>
      <c r="G2952" t="s">
        <v>201</v>
      </c>
      <c r="H2952" t="s">
        <v>1304</v>
      </c>
      <c r="I2952" s="43"/>
      <c r="K2952">
        <v>6.0894877E-2</v>
      </c>
      <c r="M2952">
        <v>-1.4153726E-2</v>
      </c>
      <c r="N2952">
        <v>-3.2069926999999998E-2</v>
      </c>
      <c r="O2952">
        <v>-7.5766649000000005E-2</v>
      </c>
      <c r="P2952">
        <v>-4.6623879999999999E-3</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t="s">
        <v>1303</v>
      </c>
      <c r="D2953" t="s">
        <v>0</v>
      </c>
      <c r="E2953">
        <v>3</v>
      </c>
      <c r="F2953" t="s">
        <v>1309</v>
      </c>
      <c r="G2953" t="s">
        <v>201</v>
      </c>
      <c r="H2953" t="s">
        <v>1304</v>
      </c>
      <c r="I2953" s="43"/>
      <c r="K2953">
        <v>9.1845789999999997E-2</v>
      </c>
      <c r="M2953">
        <v>8.2730451999999996E-2</v>
      </c>
      <c r="N2953" s="110">
        <v>-9.2699999999999998E-4</v>
      </c>
      <c r="O2953">
        <v>-7.3274132000000006E-2</v>
      </c>
      <c r="P2953">
        <v>-2.3729060000000001E-3</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t="s">
        <v>1303</v>
      </c>
      <c r="D2954" t="s">
        <v>0</v>
      </c>
      <c r="E2954">
        <v>4</v>
      </c>
      <c r="F2954" t="s">
        <v>1309</v>
      </c>
      <c r="G2954" t="s">
        <v>201</v>
      </c>
      <c r="H2954" t="s">
        <v>1304</v>
      </c>
      <c r="I2954" s="43"/>
      <c r="K2954">
        <v>0.13976190399999999</v>
      </c>
      <c r="M2954">
        <v>0.20193883400000001</v>
      </c>
      <c r="N2954">
        <v>4.6943435999999998E-2</v>
      </c>
      <c r="O2954">
        <v>-6.0353316999999997E-2</v>
      </c>
      <c r="P2954">
        <v>5.3039430000000002E-3</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t="s">
        <v>1303</v>
      </c>
      <c r="D2955" t="s">
        <v>0</v>
      </c>
      <c r="E2955">
        <v>5</v>
      </c>
      <c r="F2955" t="s">
        <v>1309</v>
      </c>
      <c r="G2955" t="s">
        <v>201</v>
      </c>
      <c r="H2955" t="s">
        <v>1304</v>
      </c>
      <c r="I2955" s="43"/>
      <c r="K2955">
        <v>0.18481222899999999</v>
      </c>
      <c r="M2955">
        <v>0.32155099999999998</v>
      </c>
      <c r="N2955">
        <v>8.4151258000000007E-2</v>
      </c>
      <c r="O2955">
        <v>-5.9201781000000002E-2</v>
      </c>
      <c r="P2955">
        <v>1.1631671999999999E-2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t="s">
        <v>1303</v>
      </c>
      <c r="D2956" t="s">
        <v>0</v>
      </c>
      <c r="E2956">
        <v>6</v>
      </c>
      <c r="F2956" t="s">
        <v>1309</v>
      </c>
      <c r="G2956" t="s">
        <v>201</v>
      </c>
      <c r="H2956" t="s">
        <v>1304</v>
      </c>
      <c r="I2956" s="43"/>
      <c r="K2956">
        <v>0.243423798</v>
      </c>
      <c r="M2956">
        <v>0.47001067800000002</v>
      </c>
      <c r="N2956">
        <v>0.16010281000000001</v>
      </c>
      <c r="O2956">
        <v>-3.2364466000000001E-2</v>
      </c>
      <c r="P2956">
        <v>2.2937639999999999E-2</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t="s">
        <v>1303</v>
      </c>
      <c r="D2957" t="s">
        <v>1</v>
      </c>
      <c r="E2957">
        <v>1</v>
      </c>
      <c r="F2957" t="s">
        <v>1309</v>
      </c>
      <c r="G2957" t="s">
        <v>201</v>
      </c>
      <c r="H2957" t="s">
        <v>1304</v>
      </c>
      <c r="I2957" s="43"/>
      <c r="K2957">
        <v>1.8364114000000001E-2</v>
      </c>
      <c r="M2957">
        <v>-6.5597487999999995E-2</v>
      </c>
      <c r="N2957">
        <v>-5.1914147000000001E-2</v>
      </c>
      <c r="O2957">
        <v>-4.2217327999999998E-2</v>
      </c>
      <c r="P2957">
        <v>-5.1937800000000003E-3</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t="s">
        <v>1303</v>
      </c>
      <c r="D2958" t="s">
        <v>1</v>
      </c>
      <c r="E2958">
        <v>2</v>
      </c>
      <c r="F2958" t="s">
        <v>1309</v>
      </c>
      <c r="G2958" t="s">
        <v>201</v>
      </c>
      <c r="H2958" t="s">
        <v>1304</v>
      </c>
      <c r="I2958" s="43"/>
      <c r="K2958">
        <v>2.8929340000000001E-2</v>
      </c>
      <c r="M2958">
        <v>-6.6697591000000001E-2</v>
      </c>
      <c r="N2958">
        <v>-7.4292898999999996E-2</v>
      </c>
      <c r="O2958">
        <v>-9.1933656000000002E-2</v>
      </c>
      <c r="P2958">
        <v>-1.0126502000000001E-2</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t="s">
        <v>1303</v>
      </c>
      <c r="D2959" t="s">
        <v>1</v>
      </c>
      <c r="E2959">
        <v>3</v>
      </c>
      <c r="F2959" t="s">
        <v>1309</v>
      </c>
      <c r="G2959" t="s">
        <v>201</v>
      </c>
      <c r="H2959" t="s">
        <v>1304</v>
      </c>
      <c r="I2959" s="43"/>
      <c r="K2959">
        <v>6.0858388999999999E-2</v>
      </c>
      <c r="M2959">
        <v>-1.0197790999999999E-2</v>
      </c>
      <c r="N2959">
        <v>-3.3471013000000001E-2</v>
      </c>
      <c r="O2959">
        <v>-9.0099286000000001E-2</v>
      </c>
      <c r="P2959">
        <v>-1.1345314E-2</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t="s">
        <v>1303</v>
      </c>
      <c r="D2960" t="s">
        <v>1</v>
      </c>
      <c r="E2960">
        <v>4</v>
      </c>
      <c r="F2960" t="s">
        <v>1309</v>
      </c>
      <c r="G2960" t="s">
        <v>201</v>
      </c>
      <c r="H2960" t="s">
        <v>1304</v>
      </c>
      <c r="I2960" s="43"/>
      <c r="K2960">
        <v>8.396671E-2</v>
      </c>
      <c r="M2960">
        <v>7.6595877000000007E-2</v>
      </c>
      <c r="N2960">
        <v>-7.7903240000000004E-3</v>
      </c>
      <c r="O2960">
        <v>-9.0083096000000001E-2</v>
      </c>
      <c r="P2960">
        <v>-5.6074439999999996E-3</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t="s">
        <v>1303</v>
      </c>
      <c r="D2961" t="s">
        <v>1</v>
      </c>
      <c r="E2961">
        <v>5</v>
      </c>
      <c r="F2961" t="s">
        <v>1309</v>
      </c>
      <c r="G2961" t="s">
        <v>201</v>
      </c>
      <c r="H2961" t="s">
        <v>1304</v>
      </c>
      <c r="I2961" s="43"/>
      <c r="K2961">
        <v>0.118747985</v>
      </c>
      <c r="M2961">
        <v>0.116213041</v>
      </c>
      <c r="N2961">
        <v>6.3493273000000003E-2</v>
      </c>
      <c r="O2961">
        <v>-5.8973421999999998E-2</v>
      </c>
      <c r="P2961">
        <v>-6.2117500000000003E-3</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t="s">
        <v>1303</v>
      </c>
      <c r="D2962" t="s">
        <v>5</v>
      </c>
      <c r="E2962">
        <v>1</v>
      </c>
      <c r="F2962" t="s">
        <v>1309</v>
      </c>
      <c r="G2962" t="s">
        <v>201</v>
      </c>
      <c r="H2962" t="s">
        <v>1304</v>
      </c>
      <c r="I2962" s="43"/>
      <c r="K2962">
        <v>4.2141752999999997E-2</v>
      </c>
      <c r="M2962">
        <v>-7.0142249000000004E-2</v>
      </c>
      <c r="N2962">
        <v>-2.6642736E-2</v>
      </c>
      <c r="O2962">
        <v>-3.4548851999999998E-2</v>
      </c>
      <c r="P2962">
        <v>-6.0548920000000001E-3</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t="s">
        <v>1303</v>
      </c>
      <c r="D2963" t="s">
        <v>5</v>
      </c>
      <c r="E2963">
        <v>2</v>
      </c>
      <c r="F2963" t="s">
        <v>1309</v>
      </c>
      <c r="G2963" t="s">
        <v>201</v>
      </c>
      <c r="H2963" t="s">
        <v>1304</v>
      </c>
      <c r="I2963" s="43"/>
      <c r="K2963">
        <v>6.1030236000000002E-2</v>
      </c>
      <c r="M2963">
        <v>-4.9949456000000003E-2</v>
      </c>
      <c r="N2963">
        <v>-1.0615028E-2</v>
      </c>
      <c r="O2963">
        <v>-5.4602182999999999E-2</v>
      </c>
      <c r="P2963">
        <v>-8.1876840000000006E-3</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t="s">
        <v>1303</v>
      </c>
      <c r="D2964" t="s">
        <v>5</v>
      </c>
      <c r="E2964">
        <v>3</v>
      </c>
      <c r="F2964" t="s">
        <v>1309</v>
      </c>
      <c r="G2964" t="s">
        <v>201</v>
      </c>
      <c r="H2964" t="s">
        <v>1304</v>
      </c>
      <c r="I2964" s="43"/>
      <c r="K2964">
        <v>0.11043831599999999</v>
      </c>
      <c r="M2964">
        <v>2.5801685000000001E-2</v>
      </c>
      <c r="N2964">
        <v>3.0622521999999999E-2</v>
      </c>
      <c r="O2964">
        <v>-5.0002821000000003E-2</v>
      </c>
      <c r="P2964">
        <v>-4.3133759999999998E-3</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t="s">
        <v>1303</v>
      </c>
      <c r="D2965" t="s">
        <v>5</v>
      </c>
      <c r="E2965">
        <v>4</v>
      </c>
      <c r="F2965" t="s">
        <v>1309</v>
      </c>
      <c r="G2965" t="s">
        <v>201</v>
      </c>
      <c r="H2965" t="s">
        <v>1304</v>
      </c>
      <c r="I2965" s="43"/>
      <c r="K2965">
        <v>0.158252796</v>
      </c>
      <c r="M2965">
        <v>8.4154796000000004E-2</v>
      </c>
      <c r="N2965">
        <v>0.10012887600000001</v>
      </c>
      <c r="O2965">
        <v>-3.3307183999999997E-2</v>
      </c>
      <c r="P2965" s="110">
        <v>3.79E-4</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t="s">
        <v>1303</v>
      </c>
      <c r="D2966" t="s">
        <v>5</v>
      </c>
      <c r="E2966">
        <v>5</v>
      </c>
      <c r="F2966" t="s">
        <v>1309</v>
      </c>
      <c r="G2966" t="s">
        <v>201</v>
      </c>
      <c r="H2966" t="s">
        <v>1304</v>
      </c>
      <c r="I2966" s="43"/>
      <c r="K2966">
        <v>0.19212623100000001</v>
      </c>
      <c r="M2966">
        <v>0.11102631</v>
      </c>
      <c r="N2966">
        <v>0.156266079</v>
      </c>
      <c r="O2966">
        <v>-1.6528958999999999E-2</v>
      </c>
      <c r="P2966">
        <v>5.1447460000000004E-3</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t="s">
        <v>1303</v>
      </c>
      <c r="D2967" t="s">
        <v>5</v>
      </c>
      <c r="E2967">
        <v>6</v>
      </c>
      <c r="F2967" t="s">
        <v>1309</v>
      </c>
      <c r="G2967" t="s">
        <v>201</v>
      </c>
      <c r="H2967" t="s">
        <v>1304</v>
      </c>
      <c r="I2967" s="43"/>
      <c r="K2967">
        <v>0.25474649399999999</v>
      </c>
      <c r="M2967">
        <v>0.247050361</v>
      </c>
      <c r="N2967">
        <v>0.223786716</v>
      </c>
      <c r="O2967">
        <v>6.3017669999999998E-3</v>
      </c>
      <c r="P2967">
        <v>1.0564063E-2</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t="s">
        <v>1303</v>
      </c>
      <c r="D2968" t="s">
        <v>2</v>
      </c>
      <c r="E2968">
        <v>1</v>
      </c>
      <c r="F2968" t="s">
        <v>1309</v>
      </c>
      <c r="G2968" t="s">
        <v>201</v>
      </c>
      <c r="H2968" t="s">
        <v>1304</v>
      </c>
      <c r="I2968" s="43"/>
      <c r="K2968">
        <v>1.3616642E-2</v>
      </c>
      <c r="M2968">
        <v>-8.9804343999999994E-2</v>
      </c>
      <c r="N2968">
        <v>-8.9371503000000005E-2</v>
      </c>
      <c r="O2968">
        <v>-8.8352358000000006E-2</v>
      </c>
      <c r="P2968">
        <v>-1.1803304000000001E-2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t="s">
        <v>1303</v>
      </c>
      <c r="D2969" t="s">
        <v>2</v>
      </c>
      <c r="E2969">
        <v>2</v>
      </c>
      <c r="F2969" t="s">
        <v>1309</v>
      </c>
      <c r="G2969" t="s">
        <v>201</v>
      </c>
      <c r="H2969" t="s">
        <v>1304</v>
      </c>
      <c r="I2969" s="43"/>
      <c r="K2969">
        <v>1.9413597000000001E-2</v>
      </c>
      <c r="M2969">
        <v>-6.8810999999999997E-2</v>
      </c>
      <c r="N2969">
        <v>-6.7166424000000002E-2</v>
      </c>
      <c r="O2969">
        <v>-0.106410747</v>
      </c>
      <c r="P2969">
        <v>-1.2762314E-2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t="s">
        <v>1303</v>
      </c>
      <c r="D2970" t="s">
        <v>2</v>
      </c>
      <c r="E2970">
        <v>3</v>
      </c>
      <c r="F2970" t="s">
        <v>1309</v>
      </c>
      <c r="G2970" t="s">
        <v>201</v>
      </c>
      <c r="H2970" t="s">
        <v>1304</v>
      </c>
      <c r="I2970" s="43"/>
      <c r="K2970">
        <v>5.9450395000000003E-2</v>
      </c>
      <c r="M2970">
        <v>-6.2237892000000003E-2</v>
      </c>
      <c r="N2970">
        <v>-3.8695394000000001E-2</v>
      </c>
      <c r="O2970">
        <v>-0.11412330699999999</v>
      </c>
      <c r="P2970">
        <v>-1.3424989999999999E-2</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t="s">
        <v>1303</v>
      </c>
      <c r="D2971" t="s">
        <v>3</v>
      </c>
      <c r="E2971">
        <v>1</v>
      </c>
      <c r="F2971" t="s">
        <v>1309</v>
      </c>
      <c r="G2971" t="s">
        <v>201</v>
      </c>
      <c r="H2971" t="s">
        <v>1304</v>
      </c>
      <c r="I2971" s="43"/>
      <c r="K2971">
        <v>2.2727952999999999E-2</v>
      </c>
      <c r="M2971">
        <v>-3.9340073000000003E-2</v>
      </c>
      <c r="N2971">
        <v>-1.5139072999999999E-2</v>
      </c>
      <c r="O2971">
        <v>-4.4534664000000002E-2</v>
      </c>
      <c r="P2971">
        <v>-7.9757019999999994E-3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t="s">
        <v>1303</v>
      </c>
      <c r="D2972" t="s">
        <v>3</v>
      </c>
      <c r="E2972">
        <v>2</v>
      </c>
      <c r="F2972" t="s">
        <v>1309</v>
      </c>
      <c r="G2972" t="s">
        <v>201</v>
      </c>
      <c r="H2972" t="s">
        <v>1304</v>
      </c>
      <c r="I2972" s="43"/>
      <c r="K2972">
        <v>4.5995205999999997E-2</v>
      </c>
      <c r="M2972">
        <v>-3.2049306E-2</v>
      </c>
      <c r="N2972">
        <v>-1.5562339E-2</v>
      </c>
      <c r="O2972">
        <v>-5.5420512999999998E-2</v>
      </c>
      <c r="P2972">
        <v>-8.1648869999999991E-3</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t="s">
        <v>1303</v>
      </c>
      <c r="D2973" t="s">
        <v>3</v>
      </c>
      <c r="E2973">
        <v>3</v>
      </c>
      <c r="F2973" t="s">
        <v>1309</v>
      </c>
      <c r="G2973" t="s">
        <v>201</v>
      </c>
      <c r="H2973" t="s">
        <v>1304</v>
      </c>
      <c r="I2973" s="43"/>
      <c r="K2973">
        <v>7.6678707999999998E-2</v>
      </c>
      <c r="M2973">
        <v>1.3920510000000001E-3</v>
      </c>
      <c r="N2973">
        <v>2.8537844E-2</v>
      </c>
      <c r="O2973">
        <v>-6.5412125000000002E-2</v>
      </c>
      <c r="P2973">
        <v>-7.8388629999999997E-3</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t="s">
        <v>1303</v>
      </c>
      <c r="D2974" t="s">
        <v>3</v>
      </c>
      <c r="E2974">
        <v>4</v>
      </c>
      <c r="F2974" t="s">
        <v>1309</v>
      </c>
      <c r="G2974" t="s">
        <v>201</v>
      </c>
      <c r="H2974" t="s">
        <v>1304</v>
      </c>
      <c r="I2974" s="43"/>
      <c r="K2974">
        <v>0.11592192799999999</v>
      </c>
      <c r="M2974">
        <v>0.108381094</v>
      </c>
      <c r="N2974">
        <v>7.1814607000000003E-2</v>
      </c>
      <c r="O2974">
        <v>-5.9061251000000002E-2</v>
      </c>
      <c r="P2974" s="110">
        <v>8.7500000000000002E-4</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t="s">
        <v>1303</v>
      </c>
      <c r="D2975" t="s">
        <v>3</v>
      </c>
      <c r="E2975">
        <v>5</v>
      </c>
      <c r="F2975" t="s">
        <v>1309</v>
      </c>
      <c r="G2975" t="s">
        <v>201</v>
      </c>
      <c r="H2975" t="s">
        <v>1304</v>
      </c>
      <c r="I2975" s="43"/>
      <c r="K2975">
        <v>0.16269104300000001</v>
      </c>
      <c r="M2975">
        <v>0.21255064300000001</v>
      </c>
      <c r="N2975">
        <v>0.11685515</v>
      </c>
      <c r="O2975">
        <v>-5.2393873000000001E-2</v>
      </c>
      <c r="P2975">
        <v>5.603373E-3</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t="s">
        <v>1303</v>
      </c>
      <c r="D2976" t="s">
        <v>3</v>
      </c>
      <c r="E2976">
        <v>6</v>
      </c>
      <c r="F2976" t="s">
        <v>1309</v>
      </c>
      <c r="G2976" t="s">
        <v>201</v>
      </c>
      <c r="H2976" t="s">
        <v>1304</v>
      </c>
      <c r="I2976" s="43"/>
      <c r="K2976">
        <v>0.227869182</v>
      </c>
      <c r="M2976">
        <v>0.31622728900000002</v>
      </c>
      <c r="N2976">
        <v>0.18942079000000001</v>
      </c>
      <c r="O2976">
        <v>-3.4972231999999999E-2</v>
      </c>
      <c r="P2976">
        <v>1.1271991E-2</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t="s">
        <v>1303</v>
      </c>
      <c r="D2977" t="s">
        <v>4</v>
      </c>
      <c r="E2977">
        <v>1</v>
      </c>
      <c r="F2977" t="s">
        <v>1309</v>
      </c>
      <c r="G2977" t="s">
        <v>201</v>
      </c>
      <c r="H2977" t="s">
        <v>1304</v>
      </c>
      <c r="I2977" s="43"/>
      <c r="K2977">
        <v>6.9409820000000001E-3</v>
      </c>
      <c r="M2977">
        <v>-7.8549753E-2</v>
      </c>
      <c r="N2977">
        <v>-7.5195214999999996E-2</v>
      </c>
      <c r="O2977">
        <v>-6.7093062999999994E-2</v>
      </c>
      <c r="P2977">
        <v>-1.009036E-2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t="s">
        <v>1303</v>
      </c>
      <c r="D2978" t="s">
        <v>4</v>
      </c>
      <c r="E2978">
        <v>2</v>
      </c>
      <c r="F2978" t="s">
        <v>1309</v>
      </c>
      <c r="G2978" t="s">
        <v>201</v>
      </c>
      <c r="H2978" t="s">
        <v>1304</v>
      </c>
      <c r="I2978" s="43"/>
      <c r="K2978">
        <v>2.9604549000000001E-2</v>
      </c>
      <c r="M2978">
        <v>-8.1596409999999994E-2</v>
      </c>
      <c r="N2978">
        <v>-5.6658287000000002E-2</v>
      </c>
      <c r="O2978">
        <v>-7.482113E-2</v>
      </c>
      <c r="P2978">
        <v>-1.0681215000000001E-2</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t="s">
        <v>1303</v>
      </c>
      <c r="D2979" t="s">
        <v>4</v>
      </c>
      <c r="E2979">
        <v>3</v>
      </c>
      <c r="F2979" t="s">
        <v>1309</v>
      </c>
      <c r="G2979" t="s">
        <v>201</v>
      </c>
      <c r="H2979" t="s">
        <v>1304</v>
      </c>
      <c r="I2979" s="43"/>
      <c r="K2979">
        <v>5.9782347999999999E-2</v>
      </c>
      <c r="M2979">
        <v>-5.3289966000000001E-2</v>
      </c>
      <c r="N2979">
        <v>-3.3673531999999999E-2</v>
      </c>
      <c r="O2979">
        <v>-8.0161054999999995E-2</v>
      </c>
      <c r="P2979">
        <v>-1.0765682E-2</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t="s">
        <v>1303</v>
      </c>
      <c r="D2980" t="s">
        <v>4</v>
      </c>
      <c r="E2980">
        <v>4</v>
      </c>
      <c r="F2980" t="s">
        <v>1309</v>
      </c>
      <c r="G2980" t="s">
        <v>201</v>
      </c>
      <c r="H2980" t="s">
        <v>1304</v>
      </c>
      <c r="I2980" s="43"/>
      <c r="K2980">
        <v>0.10030066999999999</v>
      </c>
      <c r="M2980">
        <v>4.6904290000000003E-3</v>
      </c>
      <c r="N2980">
        <v>7.5399170000000001E-3</v>
      </c>
      <c r="O2980">
        <v>-7.8838089E-2</v>
      </c>
      <c r="P2980">
        <v>-1.0080375000000001E-2</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t="s">
        <v>1303</v>
      </c>
      <c r="D2981" t="s">
        <v>4</v>
      </c>
      <c r="E2981">
        <v>5</v>
      </c>
      <c r="F2981" t="s">
        <v>1309</v>
      </c>
      <c r="G2981" t="s">
        <v>201</v>
      </c>
      <c r="H2981" t="s">
        <v>1304</v>
      </c>
      <c r="I2981" s="43"/>
      <c r="K2981">
        <v>0.119896977</v>
      </c>
      <c r="M2981">
        <v>5.3584792999999999E-2</v>
      </c>
      <c r="N2981">
        <v>6.0497436000000002E-2</v>
      </c>
      <c r="O2981">
        <v>-6.0184308999999998E-2</v>
      </c>
      <c r="P2981">
        <v>-4.5718219999999997E-3</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t="s">
        <v>1303</v>
      </c>
      <c r="D2982" t="s">
        <v>0</v>
      </c>
      <c r="E2982">
        <v>1</v>
      </c>
      <c r="F2982" t="s">
        <v>1309</v>
      </c>
      <c r="G2982" t="s">
        <v>201</v>
      </c>
      <c r="H2982" t="s">
        <v>1305</v>
      </c>
      <c r="I2982" s="43"/>
      <c r="K2982" s="110">
        <v>1.01E-4</v>
      </c>
      <c r="M2982" s="110">
        <v>-1.95E-4</v>
      </c>
      <c r="N2982" s="110">
        <v>-9.3999999999999994E-5</v>
      </c>
      <c r="O2982" s="110">
        <v>-7.6500000000000003E-5</v>
      </c>
      <c r="P2982" s="110">
        <v>-2.27E-5</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t="s">
        <v>1303</v>
      </c>
      <c r="D2983" t="s">
        <v>0</v>
      </c>
      <c r="E2983">
        <v>2</v>
      </c>
      <c r="F2983" t="s">
        <v>1309</v>
      </c>
      <c r="G2983" t="s">
        <v>201</v>
      </c>
      <c r="H2983" t="s">
        <v>1305</v>
      </c>
      <c r="I2983" s="43"/>
      <c r="K2983" s="110">
        <v>1.4899999999999999E-4</v>
      </c>
      <c r="M2983" s="110">
        <v>-9.59E-5</v>
      </c>
      <c r="N2983" s="110">
        <v>-9.3900000000000006E-5</v>
      </c>
      <c r="O2983" s="110">
        <v>-1.3300000000000001E-4</v>
      </c>
      <c r="P2983" s="110">
        <v>-2.4600000000000002E-5</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t="s">
        <v>1303</v>
      </c>
      <c r="D2984" t="s">
        <v>0</v>
      </c>
      <c r="E2984">
        <v>3</v>
      </c>
      <c r="F2984" t="s">
        <v>1309</v>
      </c>
      <c r="G2984" t="s">
        <v>201</v>
      </c>
      <c r="H2984" t="s">
        <v>1305</v>
      </c>
      <c r="I2984" s="43"/>
      <c r="K2984" s="110">
        <v>2.32E-4</v>
      </c>
      <c r="M2984" s="110">
        <v>2.7999999999999998E-4</v>
      </c>
      <c r="N2984" s="110">
        <v>-2.9799999999999999E-5</v>
      </c>
      <c r="O2984" s="110">
        <v>-1.3100000000000001E-4</v>
      </c>
      <c r="P2984" s="110">
        <v>-1.7200000000000001E-5</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t="s">
        <v>1303</v>
      </c>
      <c r="D2985" t="s">
        <v>0</v>
      </c>
      <c r="E2985">
        <v>4</v>
      </c>
      <c r="F2985" t="s">
        <v>1309</v>
      </c>
      <c r="G2985" t="s">
        <v>201</v>
      </c>
      <c r="H2985" t="s">
        <v>1305</v>
      </c>
      <c r="I2985" s="43"/>
      <c r="K2985" s="110">
        <v>3.6499999999999998E-4</v>
      </c>
      <c r="M2985" s="110">
        <v>7.0600000000000003E-4</v>
      </c>
      <c r="N2985" s="110">
        <v>6.8300000000000007E-5</v>
      </c>
      <c r="O2985" s="110">
        <v>-1.1E-4</v>
      </c>
      <c r="P2985" s="110">
        <v>1.0499999999999999E-5</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t="s">
        <v>1303</v>
      </c>
      <c r="D2986" t="s">
        <v>0</v>
      </c>
      <c r="E2986">
        <v>5</v>
      </c>
      <c r="F2986" t="s">
        <v>1309</v>
      </c>
      <c r="G2986" t="s">
        <v>201</v>
      </c>
      <c r="H2986" t="s">
        <v>1305</v>
      </c>
      <c r="I2986" s="43"/>
      <c r="K2986" s="110">
        <v>4.8200000000000001E-4</v>
      </c>
      <c r="M2986">
        <v>1.121237E-3</v>
      </c>
      <c r="N2986" s="110">
        <v>1.4899999999999999E-4</v>
      </c>
      <c r="O2986" s="110">
        <v>-1.0900000000000001E-4</v>
      </c>
      <c r="P2986" s="110">
        <v>3.1900000000000003E-5</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t="s">
        <v>1303</v>
      </c>
      <c r="D2987" t="s">
        <v>0</v>
      </c>
      <c r="E2987">
        <v>6</v>
      </c>
      <c r="F2987" t="s">
        <v>1309</v>
      </c>
      <c r="G2987" t="s">
        <v>201</v>
      </c>
      <c r="H2987" t="s">
        <v>1305</v>
      </c>
      <c r="I2987" s="43"/>
      <c r="K2987" s="110">
        <v>6.4400000000000004E-4</v>
      </c>
      <c r="M2987">
        <v>1.6174889999999999E-3</v>
      </c>
      <c r="N2987" s="110">
        <v>3.0699999999999998E-4</v>
      </c>
      <c r="O2987" s="110">
        <v>-6.3999999999999997E-5</v>
      </c>
      <c r="P2987" s="110">
        <v>7.2600000000000003E-5</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t="s">
        <v>1303</v>
      </c>
      <c r="D2988" t="s">
        <v>1</v>
      </c>
      <c r="E2988">
        <v>1</v>
      </c>
      <c r="F2988" t="s">
        <v>1309</v>
      </c>
      <c r="G2988" t="s">
        <v>201</v>
      </c>
      <c r="H2988" t="s">
        <v>1305</v>
      </c>
      <c r="I2988" s="43"/>
      <c r="K2988" s="110">
        <v>4.6199999999999998E-5</v>
      </c>
      <c r="M2988" s="110">
        <v>-3.1100000000000002E-4</v>
      </c>
      <c r="N2988" s="110">
        <v>-1.2999999999999999E-4</v>
      </c>
      <c r="O2988" s="110">
        <v>-7.4999999999999993E-5</v>
      </c>
      <c r="P2988" s="110">
        <v>-2.4300000000000001E-5</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t="s">
        <v>1303</v>
      </c>
      <c r="D2989" t="s">
        <v>1</v>
      </c>
      <c r="E2989">
        <v>2</v>
      </c>
      <c r="F2989" t="s">
        <v>1309</v>
      </c>
      <c r="G2989" t="s">
        <v>201</v>
      </c>
      <c r="H2989" t="s">
        <v>1305</v>
      </c>
      <c r="I2989" s="43"/>
      <c r="K2989" s="110">
        <v>6.7600000000000003E-5</v>
      </c>
      <c r="M2989" s="110">
        <v>-3.1799999999999998E-4</v>
      </c>
      <c r="N2989" s="110">
        <v>-1.8599999999999999E-4</v>
      </c>
      <c r="O2989" s="110">
        <v>-1.6100000000000001E-4</v>
      </c>
      <c r="P2989" s="110">
        <v>-4.6400000000000003E-5</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t="s">
        <v>1303</v>
      </c>
      <c r="D2990" t="s">
        <v>1</v>
      </c>
      <c r="E2990">
        <v>3</v>
      </c>
      <c r="F2990" t="s">
        <v>1309</v>
      </c>
      <c r="G2990" t="s">
        <v>201</v>
      </c>
      <c r="H2990" t="s">
        <v>1305</v>
      </c>
      <c r="I2990" s="43"/>
      <c r="K2990" s="110">
        <v>1.5300000000000001E-4</v>
      </c>
      <c r="M2990" s="110">
        <v>-6.6400000000000001E-5</v>
      </c>
      <c r="N2990" s="110">
        <v>-1.0399999999999999E-4</v>
      </c>
      <c r="O2990" s="110">
        <v>-1.5899999999999999E-4</v>
      </c>
      <c r="P2990" s="110">
        <v>-5.2500000000000002E-5</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t="s">
        <v>1303</v>
      </c>
      <c r="D2991" t="s">
        <v>1</v>
      </c>
      <c r="E2991">
        <v>4</v>
      </c>
      <c r="F2991" t="s">
        <v>1309</v>
      </c>
      <c r="G2991" t="s">
        <v>201</v>
      </c>
      <c r="H2991" t="s">
        <v>1305</v>
      </c>
      <c r="I2991" s="43"/>
      <c r="K2991" s="110">
        <v>2.1599999999999999E-4</v>
      </c>
      <c r="M2991" s="110">
        <v>2.7300000000000002E-4</v>
      </c>
      <c r="N2991" s="110">
        <v>-5.1E-5</v>
      </c>
      <c r="O2991" s="110">
        <v>-1.6000000000000001E-4</v>
      </c>
      <c r="P2991" s="110">
        <v>-3.1999999999999999E-5</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t="s">
        <v>1303</v>
      </c>
      <c r="D2992" t="s">
        <v>1</v>
      </c>
      <c r="E2992">
        <v>5</v>
      </c>
      <c r="F2992" t="s">
        <v>1309</v>
      </c>
      <c r="G2992" t="s">
        <v>201</v>
      </c>
      <c r="H2992" t="s">
        <v>1305</v>
      </c>
      <c r="I2992" s="43"/>
      <c r="K2992" s="110">
        <v>3.1399999999999999E-4</v>
      </c>
      <c r="M2992" s="110">
        <v>4.26E-4</v>
      </c>
      <c r="N2992" s="110">
        <v>9.8800000000000003E-5</v>
      </c>
      <c r="O2992" s="110">
        <v>-1.0900000000000001E-4</v>
      </c>
      <c r="P2992" s="110">
        <v>-3.4499999999999998E-5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t="s">
        <v>1303</v>
      </c>
      <c r="D2993" t="s">
        <v>5</v>
      </c>
      <c r="E2993">
        <v>1</v>
      </c>
      <c r="F2993" t="s">
        <v>1309</v>
      </c>
      <c r="G2993" t="s">
        <v>201</v>
      </c>
      <c r="H2993" t="s">
        <v>1305</v>
      </c>
      <c r="I2993" s="43"/>
      <c r="K2993" s="110">
        <v>1.07E-4</v>
      </c>
      <c r="M2993" s="110">
        <v>-3.4099999999999999E-4</v>
      </c>
      <c r="N2993" s="110">
        <v>-7.4599999999999997E-5</v>
      </c>
      <c r="O2993" s="110">
        <v>-6.2500000000000001E-5</v>
      </c>
      <c r="P2993" s="110">
        <v>-2.8500000000000002E-5</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t="s">
        <v>1303</v>
      </c>
      <c r="D2994" t="s">
        <v>5</v>
      </c>
      <c r="E2994">
        <v>2</v>
      </c>
      <c r="F2994" t="s">
        <v>1309</v>
      </c>
      <c r="G2994" t="s">
        <v>201</v>
      </c>
      <c r="H2994" t="s">
        <v>1305</v>
      </c>
      <c r="I2994" s="43"/>
      <c r="K2994" s="110">
        <v>1.55E-4</v>
      </c>
      <c r="M2994" s="110">
        <v>-2.6600000000000001E-4</v>
      </c>
      <c r="N2994" s="110">
        <v>-4.7800000000000003E-5</v>
      </c>
      <c r="O2994" s="110">
        <v>-9.8300000000000004E-5</v>
      </c>
      <c r="P2994" s="110">
        <v>-3.93E-5</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t="s">
        <v>1303</v>
      </c>
      <c r="D2995" t="s">
        <v>5</v>
      </c>
      <c r="E2995">
        <v>3</v>
      </c>
      <c r="F2995" t="s">
        <v>1309</v>
      </c>
      <c r="G2995" t="s">
        <v>201</v>
      </c>
      <c r="H2995" t="s">
        <v>1305</v>
      </c>
      <c r="I2995" s="43"/>
      <c r="K2995" s="110">
        <v>2.92E-4</v>
      </c>
      <c r="M2995" s="110">
        <v>6.9400000000000006E-5</v>
      </c>
      <c r="N2995" s="110">
        <v>3.6900000000000002E-5</v>
      </c>
      <c r="O2995" s="110">
        <v>-9.1899999999999998E-5</v>
      </c>
      <c r="P2995" s="110">
        <v>-2.5700000000000001E-5</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t="s">
        <v>1303</v>
      </c>
      <c r="D2996" t="s">
        <v>5</v>
      </c>
      <c r="E2996">
        <v>4</v>
      </c>
      <c r="F2996" t="s">
        <v>1309</v>
      </c>
      <c r="G2996" t="s">
        <v>201</v>
      </c>
      <c r="H2996" t="s">
        <v>1305</v>
      </c>
      <c r="I2996" s="43"/>
      <c r="K2996" s="110">
        <v>4.2099999999999999E-4</v>
      </c>
      <c r="M2996" s="110">
        <v>2.8899999999999998E-4</v>
      </c>
      <c r="N2996" s="110">
        <v>1.84E-4</v>
      </c>
      <c r="O2996" s="110">
        <v>-6.3999999999999997E-5</v>
      </c>
      <c r="P2996" s="110">
        <v>-8.4800000000000001E-6</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t="s">
        <v>1303</v>
      </c>
      <c r="D2997" t="s">
        <v>5</v>
      </c>
      <c r="E2997">
        <v>5</v>
      </c>
      <c r="F2997" t="s">
        <v>1309</v>
      </c>
      <c r="G2997" t="s">
        <v>201</v>
      </c>
      <c r="H2997" t="s">
        <v>1305</v>
      </c>
      <c r="I2997" s="43"/>
      <c r="K2997" s="110">
        <v>5.1500000000000005E-4</v>
      </c>
      <c r="M2997" s="110">
        <v>4.0200000000000001E-4</v>
      </c>
      <c r="N2997" s="110">
        <v>3.0499999999999999E-4</v>
      </c>
      <c r="O2997" s="110">
        <v>-3.7400000000000001E-5</v>
      </c>
      <c r="P2997" s="110">
        <v>8.7399999999999993E-6</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t="s">
        <v>1303</v>
      </c>
      <c r="D2998" t="s">
        <v>5</v>
      </c>
      <c r="E2998">
        <v>6</v>
      </c>
      <c r="F2998" t="s">
        <v>1309</v>
      </c>
      <c r="G2998" t="s">
        <v>201</v>
      </c>
      <c r="H2998" t="s">
        <v>1305</v>
      </c>
      <c r="I2998" s="43"/>
      <c r="K2998" s="110">
        <v>6.8199999999999999E-4</v>
      </c>
      <c r="M2998" s="110">
        <v>8.2299999999999995E-4</v>
      </c>
      <c r="N2998" s="110">
        <v>4.4299999999999998E-4</v>
      </c>
      <c r="O2998" s="110">
        <v>2.52E-6</v>
      </c>
      <c r="P2998" s="110">
        <v>2.7100000000000001E-5</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t="s">
        <v>1303</v>
      </c>
      <c r="D2999" t="s">
        <v>2</v>
      </c>
      <c r="E2999">
        <v>1</v>
      </c>
      <c r="F2999" t="s">
        <v>1309</v>
      </c>
      <c r="G2999" t="s">
        <v>201</v>
      </c>
      <c r="H2999" t="s">
        <v>1305</v>
      </c>
      <c r="I2999" s="43"/>
      <c r="K2999" s="110">
        <v>3.0199999999999999E-5</v>
      </c>
      <c r="M2999" s="110">
        <v>-4.3800000000000002E-4</v>
      </c>
      <c r="N2999" s="110">
        <v>-2.14E-4</v>
      </c>
      <c r="O2999" s="110">
        <v>-1.5300000000000001E-4</v>
      </c>
      <c r="P2999" s="110">
        <v>-5.2200000000000002E-5</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t="s">
        <v>1303</v>
      </c>
      <c r="D3000" t="s">
        <v>2</v>
      </c>
      <c r="E3000">
        <v>2</v>
      </c>
      <c r="F3000" t="s">
        <v>1309</v>
      </c>
      <c r="G3000" t="s">
        <v>201</v>
      </c>
      <c r="H3000" t="s">
        <v>1305</v>
      </c>
      <c r="I3000" s="43"/>
      <c r="K3000" s="110">
        <v>4.3999999999999999E-5</v>
      </c>
      <c r="M3000" s="110">
        <v>-3.6000000000000002E-4</v>
      </c>
      <c r="N3000" s="110">
        <v>-1.74E-4</v>
      </c>
      <c r="O3000" s="110">
        <v>-1.85E-4</v>
      </c>
      <c r="P3000" s="110">
        <v>-5.8400000000000003E-5</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t="s">
        <v>1303</v>
      </c>
      <c r="D3001" t="s">
        <v>2</v>
      </c>
      <c r="E3001">
        <v>3</v>
      </c>
      <c r="F3001" t="s">
        <v>1309</v>
      </c>
      <c r="G3001" t="s">
        <v>201</v>
      </c>
      <c r="H3001" t="s">
        <v>1305</v>
      </c>
      <c r="I3001" s="43"/>
      <c r="K3001" s="110">
        <v>1.4300000000000001E-4</v>
      </c>
      <c r="M3001" s="110">
        <v>-3.3100000000000002E-4</v>
      </c>
      <c r="N3001" s="110">
        <v>-1.17E-4</v>
      </c>
      <c r="O3001" s="110">
        <v>-1.9900000000000001E-4</v>
      </c>
      <c r="P3001" s="110">
        <v>-6.2100000000000005E-5</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t="s">
        <v>1303</v>
      </c>
      <c r="D3002" t="s">
        <v>3</v>
      </c>
      <c r="E3002">
        <v>1</v>
      </c>
      <c r="F3002" t="s">
        <v>1309</v>
      </c>
      <c r="G3002" t="s">
        <v>201</v>
      </c>
      <c r="H3002" t="s">
        <v>1305</v>
      </c>
      <c r="I3002" s="43"/>
      <c r="K3002" s="110">
        <v>5.1E-5</v>
      </c>
      <c r="M3002" s="110">
        <v>-1.8599999999999999E-4</v>
      </c>
      <c r="N3002" s="110">
        <v>-5.2500000000000002E-5</v>
      </c>
      <c r="O3002" s="110">
        <v>-7.7899999999999996E-5</v>
      </c>
      <c r="P3002" s="110">
        <v>-3.54E-5</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t="s">
        <v>1303</v>
      </c>
      <c r="D3003" t="s">
        <v>3</v>
      </c>
      <c r="E3003">
        <v>2</v>
      </c>
      <c r="F3003" t="s">
        <v>1309</v>
      </c>
      <c r="G3003" t="s">
        <v>201</v>
      </c>
      <c r="H3003" t="s">
        <v>1305</v>
      </c>
      <c r="I3003" s="43"/>
      <c r="K3003" s="110">
        <v>1.06E-4</v>
      </c>
      <c r="M3003" s="110">
        <v>-1.5100000000000001E-4</v>
      </c>
      <c r="N3003" s="110">
        <v>-6.0999999999999999E-5</v>
      </c>
      <c r="O3003" s="110">
        <v>-1.01E-4</v>
      </c>
      <c r="P3003" s="110">
        <v>-3.8000000000000002E-5</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t="s">
        <v>1303</v>
      </c>
      <c r="D3004" t="s">
        <v>3</v>
      </c>
      <c r="E3004">
        <v>3</v>
      </c>
      <c r="F3004" t="s">
        <v>1309</v>
      </c>
      <c r="G3004" t="s">
        <v>201</v>
      </c>
      <c r="H3004" t="s">
        <v>1305</v>
      </c>
      <c r="I3004" s="43"/>
      <c r="K3004" s="110">
        <v>1.9100000000000001E-4</v>
      </c>
      <c r="M3004" s="110">
        <v>-4.7600000000000002E-6</v>
      </c>
      <c r="N3004" s="110">
        <v>2.87E-5</v>
      </c>
      <c r="O3004" s="110">
        <v>-1.18E-4</v>
      </c>
      <c r="P3004" s="110">
        <v>-3.8500000000000001E-5</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t="s">
        <v>1303</v>
      </c>
      <c r="D3005" t="s">
        <v>3</v>
      </c>
      <c r="E3005">
        <v>4</v>
      </c>
      <c r="F3005" t="s">
        <v>1309</v>
      </c>
      <c r="G3005" t="s">
        <v>201</v>
      </c>
      <c r="H3005" t="s">
        <v>1305</v>
      </c>
      <c r="I3005" s="43"/>
      <c r="K3005" s="110">
        <v>3.0200000000000002E-4</v>
      </c>
      <c r="M3005" s="110">
        <v>4.2900000000000002E-4</v>
      </c>
      <c r="N3005" s="110">
        <v>1.1900000000000001E-4</v>
      </c>
      <c r="O3005" s="110">
        <v>-1.08E-4</v>
      </c>
      <c r="P3005" s="110">
        <v>-6.4200000000000004E-6</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t="s">
        <v>1303</v>
      </c>
      <c r="D3006" t="s">
        <v>3</v>
      </c>
      <c r="E3006">
        <v>5</v>
      </c>
      <c r="F3006" t="s">
        <v>1309</v>
      </c>
      <c r="G3006" t="s">
        <v>201</v>
      </c>
      <c r="H3006" t="s">
        <v>1305</v>
      </c>
      <c r="I3006" s="43"/>
      <c r="K3006" s="110">
        <v>4.35E-4</v>
      </c>
      <c r="M3006" s="110">
        <v>8.4900000000000004E-4</v>
      </c>
      <c r="N3006" s="110">
        <v>2.13E-4</v>
      </c>
      <c r="O3006" s="110">
        <v>-9.7100000000000002E-5</v>
      </c>
      <c r="P3006" s="110">
        <v>1.08E-5</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t="s">
        <v>1303</v>
      </c>
      <c r="D3007" t="s">
        <v>3</v>
      </c>
      <c r="E3007">
        <v>6</v>
      </c>
      <c r="F3007" t="s">
        <v>1309</v>
      </c>
      <c r="G3007" t="s">
        <v>201</v>
      </c>
      <c r="H3007" t="s">
        <v>1305</v>
      </c>
      <c r="I3007" s="43"/>
      <c r="K3007" s="110">
        <v>6.1300000000000005E-4</v>
      </c>
      <c r="M3007">
        <v>1.1651809999999999E-3</v>
      </c>
      <c r="N3007" s="110">
        <v>3.6600000000000001E-4</v>
      </c>
      <c r="O3007" s="110">
        <v>-6.8999999999999997E-5</v>
      </c>
      <c r="P3007" s="110">
        <v>3.0599999999999998E-5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t="s">
        <v>1303</v>
      </c>
      <c r="D3008" t="s">
        <v>4</v>
      </c>
      <c r="E3008">
        <v>1</v>
      </c>
      <c r="F3008" t="s">
        <v>1309</v>
      </c>
      <c r="G3008" t="s">
        <v>201</v>
      </c>
      <c r="H3008" t="s">
        <v>1305</v>
      </c>
      <c r="I3008" s="43"/>
      <c r="K3008" s="110">
        <v>1.56E-5</v>
      </c>
      <c r="M3008" s="110">
        <v>-3.7500000000000001E-4</v>
      </c>
      <c r="N3008" s="110">
        <v>-1.8100000000000001E-4</v>
      </c>
      <c r="O3008" s="110">
        <v>-1.16E-4</v>
      </c>
      <c r="P3008" s="110">
        <v>-4.3900000000000003E-5</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t="s">
        <v>1303</v>
      </c>
      <c r="D3009" t="s">
        <v>4</v>
      </c>
      <c r="E3009">
        <v>2</v>
      </c>
      <c r="F3009" t="s">
        <v>1309</v>
      </c>
      <c r="G3009" t="s">
        <v>201</v>
      </c>
      <c r="H3009" t="s">
        <v>1305</v>
      </c>
      <c r="I3009" s="43"/>
      <c r="K3009" s="110">
        <v>7.6199999999999995E-5</v>
      </c>
      <c r="M3009" s="110">
        <v>-3.9100000000000002E-4</v>
      </c>
      <c r="N3009" s="110">
        <v>-1.4899999999999999E-4</v>
      </c>
      <c r="O3009" s="110">
        <v>-1.3300000000000001E-4</v>
      </c>
      <c r="P3009" s="110">
        <v>-4.8300000000000002E-5</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t="s">
        <v>1303</v>
      </c>
      <c r="D3010" t="s">
        <v>4</v>
      </c>
      <c r="E3010">
        <v>3</v>
      </c>
      <c r="F3010" t="s">
        <v>1309</v>
      </c>
      <c r="G3010" t="s">
        <v>201</v>
      </c>
      <c r="H3010" t="s">
        <v>1305</v>
      </c>
      <c r="I3010" s="43"/>
      <c r="K3010" s="110">
        <v>1.63E-4</v>
      </c>
      <c r="M3010" s="110">
        <v>-2.7E-4</v>
      </c>
      <c r="N3010" s="110">
        <v>-1.03E-4</v>
      </c>
      <c r="O3010" s="110">
        <v>-1.4300000000000001E-4</v>
      </c>
      <c r="P3010" s="110">
        <v>-4.99E-5</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t="s">
        <v>1303</v>
      </c>
      <c r="D3011" t="s">
        <v>4</v>
      </c>
      <c r="E3011">
        <v>4</v>
      </c>
      <c r="F3011" t="s">
        <v>1309</v>
      </c>
      <c r="G3011" t="s">
        <v>201</v>
      </c>
      <c r="H3011" t="s">
        <v>1305</v>
      </c>
      <c r="I3011" s="43"/>
      <c r="K3011" s="110">
        <v>2.7700000000000001E-4</v>
      </c>
      <c r="M3011" s="110">
        <v>-4.0800000000000002E-5</v>
      </c>
      <c r="N3011" s="110">
        <v>-1.9000000000000001E-5</v>
      </c>
      <c r="O3011" s="110">
        <v>-1.4100000000000001E-4</v>
      </c>
      <c r="P3011" s="110">
        <v>-4.85E-5</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t="s">
        <v>1303</v>
      </c>
      <c r="D3012" t="s">
        <v>4</v>
      </c>
      <c r="E3012">
        <v>5</v>
      </c>
      <c r="F3012" t="s">
        <v>1309</v>
      </c>
      <c r="G3012" t="s">
        <v>201</v>
      </c>
      <c r="H3012" t="s">
        <v>1305</v>
      </c>
      <c r="I3012" s="43"/>
      <c r="K3012" s="110">
        <v>3.3E-4</v>
      </c>
      <c r="M3012" s="110">
        <v>1.6100000000000001E-4</v>
      </c>
      <c r="N3012" s="110">
        <v>9.0000000000000006E-5</v>
      </c>
      <c r="O3012" s="110">
        <v>-1.1E-4</v>
      </c>
      <c r="P3012" s="110">
        <v>-2.8799999999999999E-5</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t="s">
        <v>1303</v>
      </c>
      <c r="D3013" t="s">
        <v>0</v>
      </c>
      <c r="E3013">
        <v>1</v>
      </c>
      <c r="F3013" t="s">
        <v>1309</v>
      </c>
      <c r="G3013" t="s">
        <v>201</v>
      </c>
      <c r="H3013" t="s">
        <v>768</v>
      </c>
      <c r="I3013" s="43"/>
      <c r="K3013" s="110">
        <v>1.14E-7</v>
      </c>
      <c r="M3013" s="110">
        <v>-7.91E-8</v>
      </c>
      <c r="N3013" s="110">
        <v>-1.12E-7</v>
      </c>
      <c r="O3013" s="110">
        <v>-1.4399999999999999E-7</v>
      </c>
      <c r="P3013" s="110">
        <v>-1.0800000000000001E-8</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t="s">
        <v>1303</v>
      </c>
      <c r="D3014" t="s">
        <v>0</v>
      </c>
      <c r="E3014">
        <v>2</v>
      </c>
      <c r="F3014" t="s">
        <v>1309</v>
      </c>
      <c r="G3014" t="s">
        <v>201</v>
      </c>
      <c r="H3014" t="s">
        <v>768</v>
      </c>
      <c r="I3014" s="43"/>
      <c r="K3014" s="110">
        <v>1.8E-7</v>
      </c>
      <c r="M3014" s="110">
        <v>-2.1600000000000002E-8</v>
      </c>
      <c r="N3014" s="110">
        <v>-1.01E-7</v>
      </c>
      <c r="O3014" s="110">
        <v>-2.4999999999999999E-7</v>
      </c>
      <c r="P3014" s="110">
        <v>-8.9399999999999993E-9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t="s">
        <v>1303</v>
      </c>
      <c r="D3015" t="s">
        <v>0</v>
      </c>
      <c r="E3015">
        <v>3</v>
      </c>
      <c r="F3015" t="s">
        <v>1309</v>
      </c>
      <c r="G3015" t="s">
        <v>201</v>
      </c>
      <c r="H3015" t="s">
        <v>768</v>
      </c>
      <c r="I3015" s="43"/>
      <c r="K3015" s="110">
        <v>2.6899999999999999E-7</v>
      </c>
      <c r="M3015" s="110">
        <v>1.9600000000000001E-7</v>
      </c>
      <c r="N3015" s="110">
        <v>-4.6099999999999996E-9</v>
      </c>
      <c r="O3015" s="110">
        <v>-2.4200000000000002E-7</v>
      </c>
      <c r="P3015" s="110">
        <v>-2.5800000000000002E-9</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t="s">
        <v>1303</v>
      </c>
      <c r="D3016" t="s">
        <v>0</v>
      </c>
      <c r="E3016">
        <v>4</v>
      </c>
      <c r="F3016" t="s">
        <v>1309</v>
      </c>
      <c r="G3016" t="s">
        <v>201</v>
      </c>
      <c r="H3016" t="s">
        <v>768</v>
      </c>
      <c r="I3016" s="43"/>
      <c r="K3016" s="110">
        <v>4.0400000000000002E-7</v>
      </c>
      <c r="M3016" s="110">
        <v>4.7999999999999996E-7</v>
      </c>
      <c r="N3016" s="110">
        <v>1.4399999999999999E-7</v>
      </c>
      <c r="O3016" s="110">
        <v>-1.9999999999999999E-7</v>
      </c>
      <c r="P3016" s="110">
        <v>1.7500000000000001E-8</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t="s">
        <v>1303</v>
      </c>
      <c r="D3017" t="s">
        <v>0</v>
      </c>
      <c r="E3017">
        <v>5</v>
      </c>
      <c r="F3017" t="s">
        <v>1309</v>
      </c>
      <c r="G3017" t="s">
        <v>201</v>
      </c>
      <c r="H3017" t="s">
        <v>768</v>
      </c>
      <c r="I3017" s="43"/>
      <c r="K3017" s="110">
        <v>5.3399999999999999E-7</v>
      </c>
      <c r="M3017" s="110">
        <v>7.7199999999999998E-7</v>
      </c>
      <c r="N3017" s="110">
        <v>2.5699999999999999E-7</v>
      </c>
      <c r="O3017" s="110">
        <v>-1.97E-7</v>
      </c>
      <c r="P3017" s="110">
        <v>3.4599999999999999E-8</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t="s">
        <v>1303</v>
      </c>
      <c r="D3018" t="s">
        <v>0</v>
      </c>
      <c r="E3018">
        <v>6</v>
      </c>
      <c r="F3018" t="s">
        <v>1309</v>
      </c>
      <c r="G3018" t="s">
        <v>201</v>
      </c>
      <c r="H3018" t="s">
        <v>768</v>
      </c>
      <c r="I3018" s="43"/>
      <c r="K3018" s="110">
        <v>6.9999999999999997E-7</v>
      </c>
      <c r="M3018" s="110">
        <v>1.1400000000000001E-6</v>
      </c>
      <c r="N3018" s="110">
        <v>4.9299999999999998E-7</v>
      </c>
      <c r="O3018" s="110">
        <v>-1.1000000000000001E-7</v>
      </c>
      <c r="P3018" s="110">
        <v>6.4399999999999994E-8</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t="s">
        <v>1303</v>
      </c>
      <c r="D3019" t="s">
        <v>1</v>
      </c>
      <c r="E3019">
        <v>1</v>
      </c>
      <c r="F3019" t="s">
        <v>1309</v>
      </c>
      <c r="G3019" t="s">
        <v>201</v>
      </c>
      <c r="H3019" t="s">
        <v>768</v>
      </c>
      <c r="I3019" s="43"/>
      <c r="K3019" s="110">
        <v>5.3599999999999997E-8</v>
      </c>
      <c r="M3019" s="110">
        <v>-1.29E-7</v>
      </c>
      <c r="N3019" s="110">
        <v>-1.6E-7</v>
      </c>
      <c r="O3019" s="110">
        <v>-1.3899999999999999E-7</v>
      </c>
      <c r="P3019" s="110">
        <v>-1.13E-8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t="s">
        <v>1303</v>
      </c>
      <c r="D3020" t="s">
        <v>1</v>
      </c>
      <c r="E3020">
        <v>2</v>
      </c>
      <c r="F3020" t="s">
        <v>1309</v>
      </c>
      <c r="G3020" t="s">
        <v>201</v>
      </c>
      <c r="H3020" t="s">
        <v>768</v>
      </c>
      <c r="I3020" s="43"/>
      <c r="K3020" s="110">
        <v>8.6000000000000002E-8</v>
      </c>
      <c r="M3020" s="110">
        <v>-1.3199999999999999E-7</v>
      </c>
      <c r="N3020" s="110">
        <v>-2.3099999999999999E-7</v>
      </c>
      <c r="O3020" s="110">
        <v>-3.03E-7</v>
      </c>
      <c r="P3020" s="110">
        <v>-2.2399999999999999E-8</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t="s">
        <v>1303</v>
      </c>
      <c r="D3021" t="s">
        <v>1</v>
      </c>
      <c r="E3021">
        <v>3</v>
      </c>
      <c r="F3021" t="s">
        <v>1309</v>
      </c>
      <c r="G3021" t="s">
        <v>201</v>
      </c>
      <c r="H3021" t="s">
        <v>768</v>
      </c>
      <c r="I3021" s="43"/>
      <c r="K3021" s="110">
        <v>1.7800000000000001E-7</v>
      </c>
      <c r="M3021" s="110">
        <v>-2.0400000000000001E-8</v>
      </c>
      <c r="N3021" s="110">
        <v>-1.04E-7</v>
      </c>
      <c r="O3021" s="110">
        <v>-2.9700000000000003E-7</v>
      </c>
      <c r="P3021" s="110">
        <v>-2.4900000000000001E-8</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t="s">
        <v>1303</v>
      </c>
      <c r="D3022" t="s">
        <v>1</v>
      </c>
      <c r="E3022">
        <v>4</v>
      </c>
      <c r="F3022" t="s">
        <v>1309</v>
      </c>
      <c r="G3022" t="s">
        <v>201</v>
      </c>
      <c r="H3022" t="s">
        <v>768</v>
      </c>
      <c r="I3022" s="43"/>
      <c r="K3022" s="110">
        <v>2.4299999999999999E-7</v>
      </c>
      <c r="M3022" s="110">
        <v>1.73E-7</v>
      </c>
      <c r="N3022" s="110">
        <v>-2.51E-8</v>
      </c>
      <c r="O3022" s="110">
        <v>-2.9700000000000003E-7</v>
      </c>
      <c r="P3022" s="110">
        <v>-9.6899999999999994E-9</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t="s">
        <v>1303</v>
      </c>
      <c r="D3023" t="s">
        <v>1</v>
      </c>
      <c r="E3023">
        <v>5</v>
      </c>
      <c r="F3023" t="s">
        <v>1309</v>
      </c>
      <c r="G3023" t="s">
        <v>201</v>
      </c>
      <c r="H3023" t="s">
        <v>768</v>
      </c>
      <c r="I3023" s="43"/>
      <c r="K3023" s="110">
        <v>3.41E-7</v>
      </c>
      <c r="M3023" s="110">
        <v>2.6199999999999999E-7</v>
      </c>
      <c r="N3023" s="110">
        <v>1.97E-7</v>
      </c>
      <c r="O3023" s="110">
        <v>-1.9600000000000001E-7</v>
      </c>
      <c r="P3023" s="110">
        <v>-1.11E-8</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t="s">
        <v>1303</v>
      </c>
      <c r="D3024" t="s">
        <v>5</v>
      </c>
      <c r="E3024">
        <v>1</v>
      </c>
      <c r="F3024" t="s">
        <v>1309</v>
      </c>
      <c r="G3024" t="s">
        <v>201</v>
      </c>
      <c r="H3024" t="s">
        <v>768</v>
      </c>
      <c r="I3024" s="43"/>
      <c r="K3024" s="110">
        <v>1.23E-7</v>
      </c>
      <c r="M3024" s="110">
        <v>-1.3400000000000001E-7</v>
      </c>
      <c r="N3024" s="110">
        <v>-8.3099999999999996E-8</v>
      </c>
      <c r="O3024" s="110">
        <v>-1.14E-7</v>
      </c>
      <c r="P3024" s="110">
        <v>-1.3000000000000001E-8</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t="s">
        <v>1303</v>
      </c>
      <c r="D3025" t="s">
        <v>5</v>
      </c>
      <c r="E3025">
        <v>2</v>
      </c>
      <c r="F3025" t="s">
        <v>1309</v>
      </c>
      <c r="G3025" t="s">
        <v>201</v>
      </c>
      <c r="H3025" t="s">
        <v>768</v>
      </c>
      <c r="I3025" s="43"/>
      <c r="K3025" s="110">
        <v>1.7800000000000001E-7</v>
      </c>
      <c r="M3025" s="110">
        <v>-8.8399999999999997E-8</v>
      </c>
      <c r="N3025" s="110">
        <v>-3.32E-8</v>
      </c>
      <c r="O3025" s="110">
        <v>-1.8099999999999999E-7</v>
      </c>
      <c r="P3025" s="110">
        <v>-1.7299999999999999E-8</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t="s">
        <v>1303</v>
      </c>
      <c r="D3026" t="s">
        <v>5</v>
      </c>
      <c r="E3026">
        <v>3</v>
      </c>
      <c r="F3026" t="s">
        <v>1309</v>
      </c>
      <c r="G3026" t="s">
        <v>201</v>
      </c>
      <c r="H3026" t="s">
        <v>768</v>
      </c>
      <c r="I3026" s="43"/>
      <c r="K3026" s="110">
        <v>3.1800000000000002E-7</v>
      </c>
      <c r="M3026" s="110">
        <v>6.2499999999999997E-8</v>
      </c>
      <c r="N3026" s="110">
        <v>9.39E-8</v>
      </c>
      <c r="O3026" s="110">
        <v>-1.66E-7</v>
      </c>
      <c r="P3026" s="110">
        <v>-7.0800000000000004E-9</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t="s">
        <v>1303</v>
      </c>
      <c r="D3027" t="s">
        <v>5</v>
      </c>
      <c r="E3027">
        <v>4</v>
      </c>
      <c r="F3027" t="s">
        <v>1309</v>
      </c>
      <c r="G3027" t="s">
        <v>201</v>
      </c>
      <c r="H3027" t="s">
        <v>768</v>
      </c>
      <c r="I3027" s="43"/>
      <c r="K3027" s="110">
        <v>4.5400000000000002E-7</v>
      </c>
      <c r="M3027" s="110">
        <v>1.9600000000000001E-7</v>
      </c>
      <c r="N3027" s="110">
        <v>3.0899999999999997E-7</v>
      </c>
      <c r="O3027" s="110">
        <v>-1.1300000000000001E-7</v>
      </c>
      <c r="P3027" s="110">
        <v>5.0499999999999997E-9</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t="s">
        <v>1303</v>
      </c>
      <c r="D3028" t="s">
        <v>5</v>
      </c>
      <c r="E3028">
        <v>5</v>
      </c>
      <c r="F3028" t="s">
        <v>1309</v>
      </c>
      <c r="G3028" t="s">
        <v>201</v>
      </c>
      <c r="H3028" t="s">
        <v>768</v>
      </c>
      <c r="I3028" s="43"/>
      <c r="K3028" s="110">
        <v>5.4899999999999995E-7</v>
      </c>
      <c r="M3028" s="110">
        <v>2.5199999999999998E-7</v>
      </c>
      <c r="N3028" s="110">
        <v>4.8299999999999997E-7</v>
      </c>
      <c r="O3028" s="110">
        <v>-5.7700000000000001E-8</v>
      </c>
      <c r="P3028" s="110">
        <v>1.7599999999999999E-8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t="s">
        <v>1303</v>
      </c>
      <c r="D3029" t="s">
        <v>5</v>
      </c>
      <c r="E3029">
        <v>6</v>
      </c>
      <c r="F3029" t="s">
        <v>1309</v>
      </c>
      <c r="G3029" t="s">
        <v>201</v>
      </c>
      <c r="H3029" t="s">
        <v>768</v>
      </c>
      <c r="I3029" s="43"/>
      <c r="K3029" s="110">
        <v>7.2799999999999995E-7</v>
      </c>
      <c r="M3029" s="110">
        <v>6.0699999999999997E-7</v>
      </c>
      <c r="N3029" s="110">
        <v>6.8999999999999996E-7</v>
      </c>
      <c r="O3029" s="110">
        <v>1.4899999999999999E-8</v>
      </c>
      <c r="P3029" s="110">
        <v>3.1900000000000001E-8</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t="s">
        <v>1303</v>
      </c>
      <c r="D3030" t="s">
        <v>2</v>
      </c>
      <c r="E3030">
        <v>1</v>
      </c>
      <c r="F3030" t="s">
        <v>1309</v>
      </c>
      <c r="G3030" t="s">
        <v>201</v>
      </c>
      <c r="H3030" t="s">
        <v>768</v>
      </c>
      <c r="I3030" s="43"/>
      <c r="K3030" s="110">
        <v>4.1000000000000003E-8</v>
      </c>
      <c r="M3030" s="110">
        <v>-1.6999999999999999E-7</v>
      </c>
      <c r="N3030" s="110">
        <v>-2.7799999999999997E-7</v>
      </c>
      <c r="O3030" s="110">
        <v>-2.91E-7</v>
      </c>
      <c r="P3030" s="110">
        <v>-2.6899999999999999E-8</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t="s">
        <v>1303</v>
      </c>
      <c r="D3031" t="s">
        <v>2</v>
      </c>
      <c r="E3031">
        <v>2</v>
      </c>
      <c r="F3031" t="s">
        <v>1309</v>
      </c>
      <c r="G3031" t="s">
        <v>201</v>
      </c>
      <c r="H3031" t="s">
        <v>768</v>
      </c>
      <c r="I3031" s="43"/>
      <c r="K3031" s="110">
        <v>5.8299999999999999E-8</v>
      </c>
      <c r="M3031" s="110">
        <v>-1.23E-7</v>
      </c>
      <c r="N3031" s="110">
        <v>-2.0900000000000001E-7</v>
      </c>
      <c r="O3031" s="110">
        <v>-3.5100000000000001E-7</v>
      </c>
      <c r="P3031" s="110">
        <v>-2.8200000000000001E-8</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t="s">
        <v>1303</v>
      </c>
      <c r="D3032" t="s">
        <v>2</v>
      </c>
      <c r="E3032">
        <v>3</v>
      </c>
      <c r="F3032" t="s">
        <v>1309</v>
      </c>
      <c r="G3032" t="s">
        <v>201</v>
      </c>
      <c r="H3032" t="s">
        <v>768</v>
      </c>
      <c r="I3032" s="43"/>
      <c r="K3032" s="110">
        <v>1.7599999999999999E-7</v>
      </c>
      <c r="M3032" s="110">
        <v>-1.1000000000000001E-7</v>
      </c>
      <c r="N3032" s="110">
        <v>-1.2100000000000001E-7</v>
      </c>
      <c r="O3032" s="110">
        <v>-3.77E-7</v>
      </c>
      <c r="P3032" s="110">
        <v>-2.9399999999999999E-8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t="s">
        <v>1303</v>
      </c>
      <c r="D3033" t="s">
        <v>3</v>
      </c>
      <c r="E3033">
        <v>1</v>
      </c>
      <c r="F3033" t="s">
        <v>1309</v>
      </c>
      <c r="G3033" t="s">
        <v>201</v>
      </c>
      <c r="H3033" t="s">
        <v>768</v>
      </c>
      <c r="I3033" s="43"/>
      <c r="K3033" s="110">
        <v>6.8900000000000002E-8</v>
      </c>
      <c r="M3033" s="110">
        <v>-7.9899999999999994E-8</v>
      </c>
      <c r="N3033" s="110">
        <v>-4.6000000000000002E-8</v>
      </c>
      <c r="O3033" s="110">
        <v>-1.4700000000000001E-7</v>
      </c>
      <c r="P3033" s="110">
        <v>-1.81E-8</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t="s">
        <v>1303</v>
      </c>
      <c r="D3034" t="s">
        <v>3</v>
      </c>
      <c r="E3034">
        <v>2</v>
      </c>
      <c r="F3034" t="s">
        <v>1309</v>
      </c>
      <c r="G3034" t="s">
        <v>201</v>
      </c>
      <c r="H3034" t="s">
        <v>768</v>
      </c>
      <c r="I3034" s="43"/>
      <c r="K3034" s="110">
        <v>1.3799999999999999E-7</v>
      </c>
      <c r="M3034" s="110">
        <v>-6.7799999999999998E-8</v>
      </c>
      <c r="N3034" s="110">
        <v>-4.7899999999999999E-8</v>
      </c>
      <c r="O3034" s="110">
        <v>-1.8300000000000001E-7</v>
      </c>
      <c r="P3034" s="110">
        <v>-1.7800000000000001E-8</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t="s">
        <v>1303</v>
      </c>
      <c r="D3035" t="s">
        <v>3</v>
      </c>
      <c r="E3035">
        <v>3</v>
      </c>
      <c r="F3035" t="s">
        <v>1309</v>
      </c>
      <c r="G3035" t="s">
        <v>201</v>
      </c>
      <c r="H3035" t="s">
        <v>768</v>
      </c>
      <c r="I3035" s="43"/>
      <c r="K3035" s="110">
        <v>2.2499999999999999E-7</v>
      </c>
      <c r="M3035" s="110">
        <v>-1.1599999999999999E-9</v>
      </c>
      <c r="N3035" s="110">
        <v>8.9200000000000005E-8</v>
      </c>
      <c r="O3035" s="110">
        <v>-2.16E-7</v>
      </c>
      <c r="P3035" s="110">
        <v>-1.6199999999999999E-8</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t="s">
        <v>1303</v>
      </c>
      <c r="D3036" t="s">
        <v>3</v>
      </c>
      <c r="E3036">
        <v>4</v>
      </c>
      <c r="F3036" t="s">
        <v>1309</v>
      </c>
      <c r="G3036" t="s">
        <v>201</v>
      </c>
      <c r="H3036" t="s">
        <v>768</v>
      </c>
      <c r="I3036" s="43"/>
      <c r="K3036" s="110">
        <v>3.3500000000000002E-7</v>
      </c>
      <c r="M3036" s="110">
        <v>2.2999999999999999E-7</v>
      </c>
      <c r="N3036" s="110">
        <v>2.23E-7</v>
      </c>
      <c r="O3036" s="110">
        <v>-1.9600000000000001E-7</v>
      </c>
      <c r="P3036" s="110">
        <v>6.3700000000000001E-9</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t="s">
        <v>1303</v>
      </c>
      <c r="D3037" t="s">
        <v>3</v>
      </c>
      <c r="E3037">
        <v>5</v>
      </c>
      <c r="F3037" t="s">
        <v>1309</v>
      </c>
      <c r="G3037" t="s">
        <v>201</v>
      </c>
      <c r="H3037" t="s">
        <v>768</v>
      </c>
      <c r="I3037" s="43"/>
      <c r="K3037" s="110">
        <v>4.6600000000000002E-7</v>
      </c>
      <c r="M3037" s="110">
        <v>4.58E-7</v>
      </c>
      <c r="N3037" s="110">
        <v>3.6199999999999999E-7</v>
      </c>
      <c r="O3037" s="110">
        <v>-1.74E-7</v>
      </c>
      <c r="P3037" s="110">
        <v>1.8699999999999999E-8</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t="s">
        <v>1303</v>
      </c>
      <c r="D3038" t="s">
        <v>3</v>
      </c>
      <c r="E3038">
        <v>6</v>
      </c>
      <c r="F3038" t="s">
        <v>1309</v>
      </c>
      <c r="G3038" t="s">
        <v>201</v>
      </c>
      <c r="H3038" t="s">
        <v>768</v>
      </c>
      <c r="I3038" s="43"/>
      <c r="K3038" s="110">
        <v>6.5099999999999999E-7</v>
      </c>
      <c r="M3038" s="110">
        <v>7.2900000000000003E-7</v>
      </c>
      <c r="N3038" s="110">
        <v>5.8699999999999995E-7</v>
      </c>
      <c r="O3038" s="110">
        <v>-1.18E-7</v>
      </c>
      <c r="P3038" s="110">
        <v>3.3799999999999998E-8</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t="s">
        <v>1303</v>
      </c>
      <c r="D3039" t="s">
        <v>4</v>
      </c>
      <c r="E3039">
        <v>1</v>
      </c>
      <c r="F3039" t="s">
        <v>1309</v>
      </c>
      <c r="G3039" t="s">
        <v>201</v>
      </c>
      <c r="H3039" t="s">
        <v>768</v>
      </c>
      <c r="I3039" s="43"/>
      <c r="K3039" s="110">
        <v>2.0899999999999999E-8</v>
      </c>
      <c r="M3039" s="110">
        <v>-1.5200000000000001E-7</v>
      </c>
      <c r="N3039" s="110">
        <v>-2.34E-7</v>
      </c>
      <c r="O3039" s="110">
        <v>-2.2100000000000001E-7</v>
      </c>
      <c r="P3039" s="110">
        <v>-2.33E-8</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t="s">
        <v>1303</v>
      </c>
      <c r="D3040" t="s">
        <v>4</v>
      </c>
      <c r="E3040">
        <v>2</v>
      </c>
      <c r="F3040" t="s">
        <v>1309</v>
      </c>
      <c r="G3040" t="s">
        <v>201</v>
      </c>
      <c r="H3040" t="s">
        <v>768</v>
      </c>
      <c r="I3040" s="43"/>
      <c r="K3040" s="110">
        <v>8.6099999999999997E-8</v>
      </c>
      <c r="M3040" s="110">
        <v>-1.5900000000000001E-7</v>
      </c>
      <c r="N3040" s="110">
        <v>-1.7499999999999999E-7</v>
      </c>
      <c r="O3040" s="110">
        <v>-2.4600000000000001E-7</v>
      </c>
      <c r="P3040" s="110">
        <v>-2.3899999999999999E-8</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t="s">
        <v>1303</v>
      </c>
      <c r="D3041" t="s">
        <v>4</v>
      </c>
      <c r="E3041">
        <v>3</v>
      </c>
      <c r="F3041" t="s">
        <v>1309</v>
      </c>
      <c r="G3041" t="s">
        <v>201</v>
      </c>
      <c r="H3041" t="s">
        <v>768</v>
      </c>
      <c r="I3041" s="43"/>
      <c r="K3041" s="110">
        <v>1.7100000000000001E-7</v>
      </c>
      <c r="M3041" s="110">
        <v>-1.01E-7</v>
      </c>
      <c r="N3041" s="110">
        <v>-1.03E-7</v>
      </c>
      <c r="O3041" s="110">
        <v>-2.6399999999999998E-7</v>
      </c>
      <c r="P3041" s="110">
        <v>-2.3499999999999999E-8</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t="s">
        <v>1303</v>
      </c>
      <c r="D3042" t="s">
        <v>4</v>
      </c>
      <c r="E3042">
        <v>4</v>
      </c>
      <c r="F3042" t="s">
        <v>1309</v>
      </c>
      <c r="G3042" t="s">
        <v>201</v>
      </c>
      <c r="H3042" t="s">
        <v>768</v>
      </c>
      <c r="I3042" s="43"/>
      <c r="K3042" s="110">
        <v>2.8500000000000002E-7</v>
      </c>
      <c r="M3042" s="110">
        <v>2.6899999999999999E-8</v>
      </c>
      <c r="N3042" s="110">
        <v>2.4500000000000001E-8</v>
      </c>
      <c r="O3042" s="110">
        <v>-2.6100000000000002E-7</v>
      </c>
      <c r="P3042" s="110">
        <v>-2.1299999999999999E-8</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t="s">
        <v>1303</v>
      </c>
      <c r="D3043" t="s">
        <v>4</v>
      </c>
      <c r="E3043">
        <v>5</v>
      </c>
      <c r="F3043" t="s">
        <v>1309</v>
      </c>
      <c r="G3043" t="s">
        <v>201</v>
      </c>
      <c r="H3043" t="s">
        <v>768</v>
      </c>
      <c r="I3043" s="43"/>
      <c r="K3043" s="110">
        <v>3.41E-7</v>
      </c>
      <c r="M3043" s="110">
        <v>1.31E-7</v>
      </c>
      <c r="N3043" s="110">
        <v>1.8900000000000001E-7</v>
      </c>
      <c r="O3043" s="110">
        <v>-1.9999999999999999E-7</v>
      </c>
      <c r="P3043" s="110">
        <v>-6.7800000000000002E-9</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abSelected="1" topLeftCell="A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1246</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2023-04-19T15:01:14Z</dcterms:modified>
</cp:coreProperties>
</file>